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20" yWindow="65516" windowWidth="20660" windowHeight="14740" tabRatio="500" activeTab="1"/>
  </bookViews>
  <sheets>
    <sheet name="Numbers" sheetId="1" r:id="rId1"/>
    <sheet name="GRAPH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<sst xmlns="http://schemas.openxmlformats.org/spreadsheetml/2006/main" count="281" uniqueCount="232">
  <si>
    <t>Total Fed/St/Mun Rev</t>
  </si>
  <si>
    <t>Actual Values</t>
  </si>
  <si>
    <t>Gambling, Canc Debt, Other</t>
  </si>
  <si>
    <t>Estate, Farm</t>
  </si>
  <si>
    <t>Rent, Royalty</t>
  </si>
  <si>
    <t>Spening-&gt;</t>
  </si>
  <si>
    <t>Intrst</t>
  </si>
  <si>
    <t>Rate</t>
  </si>
  <si>
    <t>FED DEBT VALUES</t>
  </si>
  <si>
    <t>Iterate</t>
  </si>
  <si>
    <t>2014 - Billions dollars</t>
  </si>
  <si>
    <t>______</t>
  </si>
  <si>
    <t>YEAR</t>
  </si>
  <si>
    <t>2001-2010</t>
  </si>
  <si>
    <t>1992-2000</t>
  </si>
  <si>
    <t>Surplus</t>
  </si>
  <si>
    <t>Notes</t>
  </si>
  <si>
    <t>Federal</t>
  </si>
  <si>
    <t>top HH's</t>
  </si>
  <si>
    <t>holds</t>
  </si>
  <si>
    <t>NW</t>
  </si>
  <si>
    <t>bill</t>
  </si>
  <si>
    <t>NW tax v&gt;</t>
  </si>
  <si>
    <t>per HH</t>
  </si>
  <si>
    <t>Tot NW less</t>
  </si>
  <si>
    <t>est 2014</t>
  </si>
  <si>
    <t>Top 10% hold - 2014</t>
  </si>
  <si>
    <t>Top 10% hold - 2010</t>
  </si>
  <si>
    <t>est on Tot US NW 58-&gt;68 (2010-&gt; '14) mill</t>
  </si>
  <si>
    <t>Alt income tax calc</t>
  </si>
  <si>
    <t>Taxes</t>
  </si>
  <si>
    <t>New</t>
  </si>
  <si>
    <t>Priorities</t>
  </si>
  <si>
    <t>2010 Networth avg of top 10%</t>
  </si>
  <si>
    <t>#millionaire HH-10%allHH-2014 (in millions)</t>
  </si>
  <si>
    <t xml:space="preserve">Taxable NW=Tot less 916K/HH </t>
  </si>
  <si>
    <t>millions</t>
  </si>
  <si>
    <t>Note</t>
  </si>
  <si>
    <t>Debt</t>
  </si>
  <si>
    <t>triple</t>
  </si>
  <si>
    <t>savings</t>
  </si>
  <si>
    <t>adj to entire pop</t>
  </si>
  <si>
    <t>Living-wage deduction</t>
  </si>
  <si>
    <t>On deductions</t>
  </si>
  <si>
    <t>On after-deduction income</t>
  </si>
  <si>
    <t>Total Deductions</t>
  </si>
  <si>
    <t>Tarriffs, fees-10</t>
  </si>
  <si>
    <t>deduction per</t>
  </si>
  <si>
    <t>ov yr-v</t>
  </si>
  <si>
    <t>tot sav</t>
  </si>
  <si>
    <t>Social SecuritySavings</t>
  </si>
  <si>
    <t>2017-2042</t>
  </si>
  <si>
    <t>2017-45</t>
  </si>
  <si>
    <t>deduction unused</t>
  </si>
  <si>
    <t>09in16ag.xls</t>
  </si>
  <si>
    <t>TAX REVENUE CALCULATION FOR 2014</t>
  </si>
  <si>
    <t>Single or mar joint</t>
  </si>
  <si>
    <t>Married</t>
  </si>
  <si>
    <t>bil exemptions</t>
  </si>
  <si>
    <t>Real Growth p 2014</t>
  </si>
  <si>
    <t>Annual change x5yrs</t>
  </si>
  <si>
    <t>70% of corporate earning + 80/40 non-qualified dividends</t>
  </si>
  <si>
    <t>living wage-&gt;</t>
  </si>
  <si>
    <t>max TFA contrib-&gt;</t>
  </si>
  <si>
    <t>$916,000 exempt  amount assumes avg age 60</t>
  </si>
  <si>
    <t>Net worth</t>
  </si>
  <si>
    <t>sing age</t>
  </si>
  <si>
    <t>couple age</t>
  </si>
  <si>
    <t>kids</t>
  </si>
  <si>
    <t>and over</t>
  </si>
  <si>
    <t>exempt</t>
  </si>
  <si>
    <t>&gt;70</t>
  </si>
  <si>
    <t>Change from Bush years</t>
  </si>
  <si>
    <t>Change from Clinton yrs</t>
  </si>
  <si>
    <t>Retiree</t>
  </si>
  <si>
    <t>SS saving</t>
  </si>
  <si>
    <t>single</t>
  </si>
  <si>
    <t>Phase in Health,</t>
  </si>
  <si>
    <t>Military savings over</t>
  </si>
  <si>
    <t>5 years</t>
  </si>
  <si>
    <t>&lt;-FEDERAL-&gt;</t>
  </si>
  <si>
    <t xml:space="preserve">       V</t>
  </si>
  <si>
    <t>NYTimes</t>
  </si>
  <si>
    <t>(surcharge)</t>
  </si>
  <si>
    <t>*3</t>
  </si>
  <si>
    <t>Fair Share Spend *2</t>
  </si>
  <si>
    <t>*1-120 saving from end Af,Iraq -from http://www.fas.org/sgp/crs/natsec/RL33110.pdf</t>
  </si>
  <si>
    <t>*2-30% reduction military and health care phased in over 5 years</t>
  </si>
  <si>
    <t>&lt;-Spending</t>
  </si>
  <si>
    <t>FEDERAL, STATE &amp; MUNICLPAL - REVENUE, SPENDING &amp; DEBT 2007-2050</t>
  </si>
  <si>
    <t>200 million adults x average $5000</t>
  </si>
  <si>
    <t>Totals</t>
  </si>
  <si>
    <t>Married couples</t>
  </si>
  <si>
    <t>Singles</t>
  </si>
  <si>
    <t>Head of Household</t>
  </si>
  <si>
    <t>FEDERAL</t>
  </si>
  <si>
    <t>infrstructure</t>
  </si>
  <si>
    <t>environment</t>
  </si>
  <si>
    <t>research</t>
  </si>
  <si>
    <t>Rev.</t>
  </si>
  <si>
    <t>%GDP x10K</t>
  </si>
  <si>
    <t>Educ.</t>
  </si>
  <si>
    <t>Tax rates</t>
  </si>
  <si>
    <t>Tax Rev</t>
  </si>
  <si>
    <t>For large graph, see GRAPH tab</t>
  </si>
  <si>
    <t>Fully Taxable income</t>
  </si>
  <si>
    <t>Intrest</t>
  </si>
  <si>
    <t>5 year incr / -dec</t>
  </si>
  <si>
    <t>70% married, avg 3 people/HH</t>
  </si>
  <si>
    <t>Health</t>
  </si>
  <si>
    <t>Military</t>
  </si>
  <si>
    <t>Other</t>
  </si>
  <si>
    <t xml:space="preserve">&lt;-FEDERAL </t>
  </si>
  <si>
    <t xml:space="preserve"> STATE/MUNICIPAL-&gt;</t>
  </si>
  <si>
    <t xml:space="preserve">&lt;-STATE/MUNICIPAL </t>
  </si>
  <si>
    <t>hold %wlth</t>
  </si>
  <si>
    <t>Other compensation</t>
  </si>
  <si>
    <t>Total</t>
  </si>
  <si>
    <t>Pension, Annuity</t>
  </si>
  <si>
    <t>on 2009 returns</t>
  </si>
  <si>
    <t>~ the 284 exempts claimed</t>
  </si>
  <si>
    <t>FEDERAL-&gt;</t>
  </si>
  <si>
    <t>Revenue</t>
  </si>
  <si>
    <t>Spending</t>
  </si>
  <si>
    <t>http://www.usgovernmentrevenue.com/year_revenue_2012USbn_13bs1n_5040445251604663#usgs302</t>
  </si>
  <si>
    <t>1.05x 2012 State/local MV lic, Fee&amp; Charges, Business (not corporate) and other Revenue</t>
  </si>
  <si>
    <t>1.05x 2012 Federal Custums and Federal Reserve interest</t>
  </si>
  <si>
    <t>Fees</t>
  </si>
  <si>
    <t>spending</t>
  </si>
  <si>
    <t>% of</t>
  </si>
  <si>
    <t>State,Mun</t>
  </si>
  <si>
    <t>% all rev</t>
  </si>
  <si>
    <t>to education</t>
  </si>
  <si>
    <t>and add</t>
  </si>
  <si>
    <t>ch fr Clinton</t>
  </si>
  <si>
    <t>ch fr Bush</t>
  </si>
  <si>
    <t>End War Tax -&gt;</t>
  </si>
  <si>
    <t>Fair Share Tax *1 -&gt;</t>
  </si>
  <si>
    <t>bef sav</t>
  </si>
  <si>
    <t>aft sav</t>
  </si>
  <si>
    <t>Phase in  Social Sec Ret</t>
  </si>
  <si>
    <t>State/Mun factor:</t>
  </si>
  <si>
    <t>% all taxes</t>
  </si>
  <si>
    <t xml:space="preserve">Rev Type </t>
  </si>
  <si>
    <t>Income Tax</t>
  </si>
  <si>
    <t>Net Worth Tax</t>
  </si>
  <si>
    <t>War Tax</t>
  </si>
  <si>
    <t>Excise Taxes</t>
  </si>
  <si>
    <t xml:space="preserve"> All values billions of dollars - actual (not "real" dollars corrected for inflation)</t>
  </si>
  <si>
    <t xml:space="preserve">     Fed, State, Muni</t>
  </si>
  <si>
    <t>Medical ded - OOP medical exceeding 6% income</t>
  </si>
  <si>
    <t xml:space="preserve">medical </t>
  </si>
  <si>
    <t>&gt;15K</t>
  </si>
  <si>
    <t>&gt;20K</t>
  </si>
  <si>
    <t>&gt;25K</t>
  </si>
  <si>
    <t>FED/ST/MUN</t>
  </si>
  <si>
    <t>WITH FAIRSHARE PLAN - ALL VALUES BILLIONS OF DOLLARS (except as specified)</t>
  </si>
  <si>
    <t>Green values may be changed to bend curves</t>
  </si>
  <si>
    <t>savings over 10 yrs *3</t>
  </si>
  <si>
    <t xml:space="preserve">*3-Projected Soc Security spending by Social Security Trustee's under current system; Second column </t>
  </si>
  <si>
    <t>Soc Sc</t>
  </si>
  <si>
    <t>GDP</t>
  </si>
  <si>
    <t>3 times 2009 amt exceeding 5%AGI</t>
  </si>
  <si>
    <t>Salaries/wages</t>
  </si>
  <si>
    <t>Interest</t>
  </si>
  <si>
    <t>Dividends</t>
  </si>
  <si>
    <t>Business</t>
  </si>
  <si>
    <t>S-Corp</t>
  </si>
  <si>
    <t>Unemployment</t>
  </si>
  <si>
    <t>Social Security</t>
  </si>
  <si>
    <t>total SS benefits</t>
  </si>
  <si>
    <t>90% of reported business income</t>
  </si>
  <si>
    <t>80% of reported S-corp income</t>
  </si>
  <si>
    <t>TFA contributions ded</t>
  </si>
  <si>
    <t>Federal graph</t>
  </si>
  <si>
    <t>fam 3</t>
  </si>
  <si>
    <t>Plus 8% benefits</t>
  </si>
  <si>
    <t>WITH FAIRSHARE TAX &amp; SPENDING REFORM PLANS</t>
  </si>
  <si>
    <t xml:space="preserve"> eamo</t>
  </si>
  <si>
    <t>OAR</t>
  </si>
  <si>
    <t>SDII</t>
  </si>
  <si>
    <t>2024  SS pop &gt;67-mill</t>
  </si>
  <si>
    <t>Spending-&gt;</t>
  </si>
  <si>
    <t xml:space="preserve">  </t>
  </si>
  <si>
    <t xml:space="preserve">All Govt </t>
  </si>
  <si>
    <t>State/Mu</t>
  </si>
  <si>
    <t>Tax rate</t>
  </si>
  <si>
    <t>as % of</t>
  </si>
  <si>
    <t>Soc Sec</t>
  </si>
  <si>
    <t>Federal Budget Graph</t>
  </si>
  <si>
    <t xml:space="preserve">has savings under Fair Share plan; Disability savings of 20 % fully realized over 15 yrs; Retiree </t>
  </si>
  <si>
    <t xml:space="preserve">savings phased in 2024-34. It establishes a single benefit ($18,600 single; $31,000 couple; </t>
  </si>
  <si>
    <t>2014 dollars) adding benefits for the poorest, and reducing benefits for the wealthiest</t>
  </si>
  <si>
    <t>master inflation-v</t>
  </si>
  <si>
    <t>rev %GDP</t>
  </si>
  <si>
    <t>Spend %GDP</t>
  </si>
  <si>
    <t>Avg Exemption/person</t>
  </si>
  <si>
    <t>Income tax calc</t>
  </si>
  <si>
    <t>Net Worth tax calc</t>
  </si>
  <si>
    <t>Tax bill$</t>
  </si>
  <si>
    <t xml:space="preserve">10% of wages and salaries as excludes defunct payroll </t>
  </si>
  <si>
    <t>taxes and medical insurance less than 5% of salary</t>
  </si>
  <si>
    <t>%GDP</t>
  </si>
  <si>
    <t>Spend</t>
  </si>
  <si>
    <t>Total benefit (bill)</t>
  </si>
  <si>
    <t>living wage</t>
  </si>
  <si>
    <t>avg  benefit-thou</t>
  </si>
  <si>
    <t>2014 dollars</t>
  </si>
  <si>
    <t>inflation</t>
  </si>
  <si>
    <t>mill</t>
  </si>
  <si>
    <t>Alt Wealth tax calc.</t>
  </si>
  <si>
    <t>(Deficit)</t>
  </si>
  <si>
    <t>married</t>
  </si>
  <si>
    <t>% GDP</t>
  </si>
  <si>
    <t>IRS Data-2009</t>
  </si>
  <si>
    <t>Inflation rate</t>
  </si>
  <si>
    <t>End Bush cuts</t>
  </si>
  <si>
    <t>2014 estimate</t>
  </si>
  <si>
    <t>2009 Total</t>
  </si>
  <si>
    <t>*5</t>
  </si>
  <si>
    <t>*6</t>
  </si>
  <si>
    <t>*7</t>
  </si>
  <si>
    <t>Income</t>
  </si>
  <si>
    <t>fed tax</t>
  </si>
  <si>
    <t>eff rate</t>
  </si>
  <si>
    <t>couple</t>
  </si>
  <si>
    <t>--</t>
  </si>
  <si>
    <t>Kid-dependents</t>
  </si>
  <si>
    <t>total exemption  bill$</t>
  </si>
  <si>
    <t>Under Current Syst</t>
  </si>
  <si>
    <t>(2012-13 estimates)</t>
  </si>
  <si>
    <t>% fed rev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</si>
</sst>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0.0000"/>
    <numFmt numFmtId="170" formatCode="0.000"/>
    <numFmt numFmtId="171" formatCode="#,##0.0"/>
    <numFmt numFmtId="172" formatCode="0_);\(0\)"/>
    <numFmt numFmtId="173" formatCode="0.0000000"/>
    <numFmt numFmtId="174" formatCode="0.000000"/>
    <numFmt numFmtId="175" formatCode="0.00000"/>
    <numFmt numFmtId="176" formatCode="0.00000000"/>
    <numFmt numFmtId="177" formatCode="_(* #,##0.000_);_(* \(#,##0.000\);_(* &quot;-&quot;??_);_(@_)"/>
    <numFmt numFmtId="178" formatCode="0_);[Red]\(0\)"/>
    <numFmt numFmtId="179" formatCode="0.000%"/>
    <numFmt numFmtId="180" formatCode="0.00000000000000%"/>
    <numFmt numFmtId="181" formatCode="m/d/yyyy"/>
  </numFmts>
  <fonts count="2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b/>
      <sz val="12"/>
      <name val="Verdana"/>
      <family val="0"/>
    </font>
    <font>
      <sz val="8"/>
      <name val="Verdana"/>
      <family val="0"/>
    </font>
    <font>
      <sz val="11"/>
      <name val="Verdana"/>
      <family val="0"/>
    </font>
    <font>
      <b/>
      <i/>
      <sz val="10"/>
      <color indexed="17"/>
      <name val="Verdana"/>
      <family val="0"/>
    </font>
    <font>
      <b/>
      <sz val="11"/>
      <name val="Verdana"/>
      <family val="0"/>
    </font>
    <font>
      <sz val="10"/>
      <color indexed="10"/>
      <name val="Verdana"/>
      <family val="0"/>
    </font>
    <font>
      <sz val="10"/>
      <color indexed="8"/>
      <name val="Verdana"/>
      <family val="0"/>
    </font>
    <font>
      <sz val="10"/>
      <color indexed="12"/>
      <name val="Verdana"/>
      <family val="0"/>
    </font>
    <font>
      <b/>
      <sz val="10"/>
      <color indexed="12"/>
      <name val="Verdana"/>
      <family val="0"/>
    </font>
    <font>
      <sz val="9"/>
      <color indexed="12"/>
      <name val="Verdana"/>
      <family val="0"/>
    </font>
    <font>
      <b/>
      <i/>
      <u val="single"/>
      <sz val="10"/>
      <color indexed="17"/>
      <name val="Verdana"/>
      <family val="0"/>
    </font>
    <font>
      <u val="single"/>
      <sz val="10"/>
      <name val="Verdana"/>
      <family val="0"/>
    </font>
    <font>
      <sz val="9"/>
      <name val="Verdana"/>
      <family val="0"/>
    </font>
    <font>
      <b/>
      <u val="single"/>
      <sz val="10"/>
      <name val="Verdana"/>
      <family val="0"/>
    </font>
    <font>
      <b/>
      <sz val="8"/>
      <name val="Verdana"/>
      <family val="0"/>
    </font>
    <font>
      <sz val="10"/>
      <color indexed="18"/>
      <name val="Verdana"/>
      <family val="0"/>
    </font>
    <font>
      <sz val="10"/>
      <name val="Arial"/>
      <family val="2"/>
    </font>
    <font>
      <b/>
      <sz val="10"/>
      <name val="Arial"/>
      <family val="2"/>
    </font>
    <font>
      <b/>
      <sz val="9.75"/>
      <name val="Verdana"/>
      <family val="0"/>
    </font>
    <font>
      <sz val="5.5"/>
      <name val="Verdana"/>
      <family val="0"/>
    </font>
    <font>
      <b/>
      <sz val="5.5"/>
      <name val="Verdan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9" fontId="8" fillId="0" borderId="0" xfId="21" applyFont="1" applyAlignment="1">
      <alignment/>
    </xf>
    <xf numFmtId="165" fontId="8" fillId="0" borderId="0" xfId="21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15" applyNumberForma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9" fontId="0" fillId="0" borderId="0" xfId="21" applyAlignment="1">
      <alignment/>
    </xf>
    <xf numFmtId="165" fontId="0" fillId="0" borderId="0" xfId="21" applyNumberForma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21" applyNumberFormat="1" applyFont="1" applyAlignment="1">
      <alignment/>
    </xf>
    <xf numFmtId="1" fontId="0" fillId="0" borderId="0" xfId="15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left"/>
    </xf>
    <xf numFmtId="165" fontId="0" fillId="0" borderId="0" xfId="0" applyNumberFormat="1" applyFill="1" applyBorder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1" fontId="0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1" fontId="0" fillId="0" borderId="0" xfId="0" applyNumberFormat="1" applyAlignment="1">
      <alignment horizontal="center"/>
    </xf>
    <xf numFmtId="165" fontId="9" fillId="0" borderId="0" xfId="0" applyNumberFormat="1" applyFont="1" applyAlignment="1">
      <alignment/>
    </xf>
    <xf numFmtId="165" fontId="12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165" fontId="12" fillId="0" borderId="0" xfId="0" applyNumberFormat="1" applyFont="1" applyBorder="1" applyAlignment="1">
      <alignment/>
    </xf>
    <xf numFmtId="165" fontId="0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165" fontId="12" fillId="0" borderId="0" xfId="0" applyNumberFormat="1" applyFont="1" applyAlignment="1">
      <alignment horizontal="right"/>
    </xf>
    <xf numFmtId="165" fontId="0" fillId="0" borderId="1" xfId="0" applyNumberFormat="1" applyBorder="1" applyAlignment="1">
      <alignment horizontal="right"/>
    </xf>
    <xf numFmtId="165" fontId="9" fillId="0" borderId="1" xfId="0" applyNumberFormat="1" applyFont="1" applyBorder="1" applyAlignment="1">
      <alignment/>
    </xf>
    <xf numFmtId="167" fontId="9" fillId="0" borderId="0" xfId="15" applyNumberFormat="1" applyFont="1" applyAlignment="1">
      <alignment/>
    </xf>
    <xf numFmtId="165" fontId="9" fillId="0" borderId="0" xfId="21" applyNumberFormat="1" applyFont="1" applyAlignment="1">
      <alignment/>
    </xf>
    <xf numFmtId="165" fontId="9" fillId="0" borderId="0" xfId="0" applyNumberFormat="1" applyFont="1" applyAlignment="1">
      <alignment horizontal="right"/>
    </xf>
    <xf numFmtId="0" fontId="0" fillId="0" borderId="3" xfId="0" applyFont="1" applyBorder="1" applyAlignment="1">
      <alignment/>
    </xf>
    <xf numFmtId="9" fontId="9" fillId="0" borderId="3" xfId="0" applyNumberFormat="1" applyFont="1" applyBorder="1" applyAlignment="1">
      <alignment/>
    </xf>
    <xf numFmtId="9" fontId="9" fillId="0" borderId="0" xfId="0" applyNumberFormat="1" applyFont="1" applyBorder="1" applyAlignment="1">
      <alignment/>
    </xf>
    <xf numFmtId="10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9" fontId="9" fillId="0" borderId="0" xfId="21" applyFont="1" applyAlignment="1">
      <alignment/>
    </xf>
    <xf numFmtId="0" fontId="0" fillId="0" borderId="2" xfId="0" applyBorder="1" applyAlignment="1">
      <alignment/>
    </xf>
    <xf numFmtId="165" fontId="0" fillId="0" borderId="1" xfId="0" applyNumberFormat="1" applyBorder="1" applyAlignment="1">
      <alignment/>
    </xf>
    <xf numFmtId="167" fontId="0" fillId="0" borderId="0" xfId="15" applyNumberFormat="1" applyAlignment="1">
      <alignment/>
    </xf>
    <xf numFmtId="165" fontId="0" fillId="0" borderId="3" xfId="0" applyNumberFormat="1" applyBorder="1" applyAlignment="1">
      <alignment/>
    </xf>
    <xf numFmtId="9" fontId="0" fillId="0" borderId="0" xfId="0" applyNumberFormat="1" applyBorder="1" applyAlignment="1">
      <alignment/>
    </xf>
    <xf numFmtId="0" fontId="12" fillId="0" borderId="0" xfId="0" applyFont="1" applyFill="1" applyBorder="1" applyAlignment="1">
      <alignment horizontal="left"/>
    </xf>
    <xf numFmtId="1" fontId="12" fillId="0" borderId="0" xfId="15" applyNumberFormat="1" applyFont="1" applyFill="1" applyBorder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" fontId="12" fillId="0" borderId="0" xfId="0" applyNumberFormat="1" applyFont="1" applyFill="1" applyBorder="1" applyAlignment="1">
      <alignment horizontal="left"/>
    </xf>
    <xf numFmtId="165" fontId="0" fillId="0" borderId="1" xfId="21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67" fontId="13" fillId="0" borderId="0" xfId="15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right"/>
    </xf>
    <xf numFmtId="165" fontId="13" fillId="0" borderId="0" xfId="21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78" fontId="13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9" fontId="13" fillId="0" borderId="0" xfId="21" applyFont="1" applyFill="1" applyBorder="1" applyAlignment="1">
      <alignment/>
    </xf>
    <xf numFmtId="165" fontId="13" fillId="0" borderId="0" xfId="21" applyNumberFormat="1" applyFont="1" applyAlignment="1">
      <alignment/>
    </xf>
    <xf numFmtId="165" fontId="13" fillId="0" borderId="0" xfId="0" applyNumberFormat="1" applyFont="1" applyFill="1" applyBorder="1" applyAlignment="1">
      <alignment horizontal="left"/>
    </xf>
    <xf numFmtId="165" fontId="13" fillId="0" borderId="0" xfId="0" applyNumberFormat="1" applyFont="1" applyFill="1" applyBorder="1" applyAlignment="1">
      <alignment/>
    </xf>
    <xf numFmtId="9" fontId="13" fillId="0" borderId="2" xfId="0" applyNumberFormat="1" applyFont="1" applyFill="1" applyBorder="1" applyAlignment="1">
      <alignment/>
    </xf>
    <xf numFmtId="9" fontId="13" fillId="0" borderId="0" xfId="21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43" fontId="13" fillId="0" borderId="0" xfId="15" applyFont="1" applyFill="1" applyBorder="1" applyAlignment="1">
      <alignment horizontal="right"/>
    </xf>
    <xf numFmtId="0" fontId="13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1" fontId="14" fillId="0" borderId="1" xfId="0" applyNumberFormat="1" applyFont="1" applyFill="1" applyBorder="1" applyAlignment="1">
      <alignment/>
    </xf>
    <xf numFmtId="1" fontId="0" fillId="0" borderId="0" xfId="15" applyNumberFormat="1" applyBorder="1" applyAlignment="1">
      <alignment/>
    </xf>
    <xf numFmtId="165" fontId="13" fillId="0" borderId="0" xfId="21" applyNumberFormat="1" applyFont="1" applyBorder="1" applyAlignment="1">
      <alignment/>
    </xf>
    <xf numFmtId="9" fontId="13" fillId="0" borderId="0" xfId="21" applyFont="1" applyFill="1" applyBorder="1" applyAlignment="1">
      <alignment horizontal="left"/>
    </xf>
    <xf numFmtId="0" fontId="13" fillId="0" borderId="4" xfId="0" applyFont="1" applyBorder="1" applyAlignment="1">
      <alignment/>
    </xf>
    <xf numFmtId="0" fontId="13" fillId="0" borderId="4" xfId="0" applyFont="1" applyFill="1" applyBorder="1" applyAlignment="1">
      <alignment/>
    </xf>
    <xf numFmtId="1" fontId="14" fillId="0" borderId="5" xfId="0" applyNumberFormat="1" applyFont="1" applyFill="1" applyBorder="1" applyAlignment="1">
      <alignment/>
    </xf>
    <xf numFmtId="1" fontId="14" fillId="0" borderId="4" xfId="0" applyNumberFormat="1" applyFont="1" applyFill="1" applyBorder="1" applyAlignment="1">
      <alignment/>
    </xf>
    <xf numFmtId="167" fontId="13" fillId="0" borderId="4" xfId="15" applyNumberFormat="1" applyFont="1" applyFill="1" applyBorder="1" applyAlignment="1">
      <alignment/>
    </xf>
    <xf numFmtId="165" fontId="13" fillId="0" borderId="4" xfId="21" applyNumberFormat="1" applyFont="1" applyFill="1" applyBorder="1" applyAlignment="1">
      <alignment/>
    </xf>
    <xf numFmtId="1" fontId="13" fillId="0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1" fontId="0" fillId="0" borderId="4" xfId="15" applyNumberFormat="1" applyBorder="1" applyAlignment="1">
      <alignment/>
    </xf>
    <xf numFmtId="178" fontId="13" fillId="0" borderId="4" xfId="0" applyNumberFormat="1" applyFont="1" applyFill="1" applyBorder="1" applyAlignment="1">
      <alignment/>
    </xf>
    <xf numFmtId="9" fontId="13" fillId="0" borderId="4" xfId="21" applyNumberFormat="1" applyFont="1" applyFill="1" applyBorder="1" applyAlignment="1">
      <alignment/>
    </xf>
    <xf numFmtId="9" fontId="13" fillId="0" borderId="4" xfId="21" applyFont="1" applyFill="1" applyBorder="1" applyAlignment="1">
      <alignment/>
    </xf>
    <xf numFmtId="165" fontId="13" fillId="0" borderId="4" xfId="21" applyNumberFormat="1" applyFont="1" applyBorder="1" applyAlignment="1">
      <alignment/>
    </xf>
    <xf numFmtId="0" fontId="0" fillId="0" borderId="5" xfId="0" applyBorder="1" applyAlignment="1">
      <alignment/>
    </xf>
    <xf numFmtId="164" fontId="13" fillId="0" borderId="4" xfId="0" applyNumberFormat="1" applyFont="1" applyFill="1" applyBorder="1" applyAlignment="1">
      <alignment horizontal="left"/>
    </xf>
    <xf numFmtId="164" fontId="13" fillId="0" borderId="4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165" fontId="0" fillId="0" borderId="0" xfId="21" applyNumberFormat="1" applyBorder="1" applyAlignment="1">
      <alignment/>
    </xf>
    <xf numFmtId="172" fontId="0" fillId="0" borderId="0" xfId="15" applyNumberFormat="1" applyAlignment="1">
      <alignment/>
    </xf>
    <xf numFmtId="178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9" fontId="0" fillId="0" borderId="0" xfId="21" applyNumberFormat="1" applyBorder="1" applyAlignment="1">
      <alignment/>
    </xf>
    <xf numFmtId="165" fontId="0" fillId="0" borderId="0" xfId="21" applyNumberFormat="1" applyFont="1" applyFill="1" applyBorder="1" applyAlignment="1">
      <alignment/>
    </xf>
    <xf numFmtId="9" fontId="0" fillId="0" borderId="1" xfId="21" applyBorder="1" applyAlignment="1">
      <alignment/>
    </xf>
    <xf numFmtId="167" fontId="0" fillId="0" borderId="0" xfId="15" applyNumberFormat="1" applyAlignment="1">
      <alignment horizontal="left"/>
    </xf>
    <xf numFmtId="9" fontId="0" fillId="0" borderId="2" xfId="21" applyBorder="1" applyAlignment="1">
      <alignment/>
    </xf>
    <xf numFmtId="9" fontId="12" fillId="0" borderId="0" xfId="21" applyFont="1" applyFill="1" applyAlignment="1">
      <alignment/>
    </xf>
    <xf numFmtId="1" fontId="0" fillId="0" borderId="0" xfId="0" applyNumberFormat="1" applyFont="1" applyAlignment="1">
      <alignment/>
    </xf>
    <xf numFmtId="1" fontId="1" fillId="0" borderId="1" xfId="0" applyNumberFormat="1" applyFont="1" applyBorder="1" applyAlignment="1">
      <alignment/>
    </xf>
    <xf numFmtId="1" fontId="0" fillId="0" borderId="3" xfId="0" applyNumberFormat="1" applyBorder="1" applyAlignment="1">
      <alignment/>
    </xf>
    <xf numFmtId="0" fontId="0" fillId="0" borderId="7" xfId="0" applyBorder="1" applyAlignment="1">
      <alignment/>
    </xf>
    <xf numFmtId="9" fontId="0" fillId="0" borderId="0" xfId="2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1" fontId="0" fillId="0" borderId="0" xfId="0" applyNumberFormat="1" applyAlignment="1">
      <alignment/>
    </xf>
    <xf numFmtId="9" fontId="16" fillId="0" borderId="0" xfId="21" applyFont="1" applyAlignment="1">
      <alignment horizontal="right"/>
    </xf>
    <xf numFmtId="165" fontId="17" fillId="0" borderId="0" xfId="21" applyNumberFormat="1" applyFont="1" applyAlignment="1">
      <alignment horizontal="right"/>
    </xf>
    <xf numFmtId="9" fontId="0" fillId="0" borderId="7" xfId="21" applyNumberFormat="1" applyFont="1" applyBorder="1" applyAlignment="1">
      <alignment horizontal="left"/>
    </xf>
    <xf numFmtId="167" fontId="0" fillId="0" borderId="3" xfId="15" applyNumberFormat="1" applyBorder="1" applyAlignment="1">
      <alignment/>
    </xf>
    <xf numFmtId="0" fontId="0" fillId="0" borderId="9" xfId="0" applyBorder="1" applyAlignment="1">
      <alignment/>
    </xf>
    <xf numFmtId="1" fontId="17" fillId="0" borderId="0" xfId="21" applyNumberFormat="1" applyFont="1" applyAlignment="1">
      <alignment horizontal="right"/>
    </xf>
    <xf numFmtId="170" fontId="0" fillId="0" borderId="0" xfId="15" applyNumberFormat="1" applyAlignment="1">
      <alignment/>
    </xf>
    <xf numFmtId="9" fontId="0" fillId="0" borderId="0" xfId="21" applyAlignment="1">
      <alignment horizontal="left"/>
    </xf>
    <xf numFmtId="164" fontId="0" fillId="0" borderId="0" xfId="15" applyNumberFormat="1" applyAlignment="1">
      <alignment/>
    </xf>
    <xf numFmtId="1" fontId="18" fillId="0" borderId="0" xfId="15" applyNumberFormat="1" applyFont="1" applyAlignment="1">
      <alignment/>
    </xf>
    <xf numFmtId="165" fontId="0" fillId="0" borderId="0" xfId="21" applyNumberFormat="1" applyAlignment="1">
      <alignment horizontal="right"/>
    </xf>
    <xf numFmtId="9" fontId="1" fillId="0" borderId="0" xfId="21" applyFont="1" applyAlignment="1">
      <alignment/>
    </xf>
    <xf numFmtId="165" fontId="19" fillId="0" borderId="0" xfId="0" applyNumberFormat="1" applyFont="1" applyAlignment="1">
      <alignment horizontal="right"/>
    </xf>
    <xf numFmtId="9" fontId="19" fillId="0" borderId="0" xfId="21" applyFont="1" applyAlignment="1">
      <alignment horizontal="right"/>
    </xf>
    <xf numFmtId="165" fontId="19" fillId="0" borderId="0" xfId="21" applyNumberFormat="1" applyFont="1" applyAlignment="1">
      <alignment/>
    </xf>
    <xf numFmtId="0" fontId="17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9" fontId="1" fillId="0" borderId="0" xfId="21" applyNumberFormat="1" applyFont="1" applyAlignment="1">
      <alignment/>
    </xf>
    <xf numFmtId="1" fontId="0" fillId="0" borderId="0" xfId="21" applyNumberFormat="1" applyAlignment="1">
      <alignment/>
    </xf>
    <xf numFmtId="166" fontId="20" fillId="0" borderId="0" xfId="15" applyNumberFormat="1" applyFont="1" applyAlignment="1">
      <alignment/>
    </xf>
    <xf numFmtId="165" fontId="1" fillId="0" borderId="0" xfId="21" applyNumberFormat="1" applyFont="1" applyAlignment="1">
      <alignment/>
    </xf>
    <xf numFmtId="9" fontId="12" fillId="0" borderId="0" xfId="21" applyFont="1" applyAlignment="1">
      <alignment horizontal="right"/>
    </xf>
    <xf numFmtId="165" fontId="12" fillId="0" borderId="0" xfId="21" applyNumberFormat="1" applyFont="1" applyAlignment="1">
      <alignment horizontal="right"/>
    </xf>
    <xf numFmtId="0" fontId="12" fillId="0" borderId="0" xfId="0" applyFont="1" applyAlignment="1">
      <alignment horizontal="right"/>
    </xf>
    <xf numFmtId="1" fontId="12" fillId="0" borderId="0" xfId="21" applyNumberFormat="1" applyFont="1" applyAlignment="1">
      <alignment horizontal="right"/>
    </xf>
    <xf numFmtId="1" fontId="1" fillId="0" borderId="0" xfId="21" applyNumberFormat="1" applyFont="1" applyAlignment="1">
      <alignment/>
    </xf>
    <xf numFmtId="167" fontId="0" fillId="0" borderId="0" xfId="15" applyNumberFormat="1" applyFont="1" applyAlignment="1">
      <alignment/>
    </xf>
    <xf numFmtId="165" fontId="21" fillId="0" borderId="0" xfId="21" applyNumberFormat="1" applyFont="1" applyAlignment="1">
      <alignment/>
    </xf>
    <xf numFmtId="0" fontId="21" fillId="0" borderId="0" xfId="0" applyFont="1" applyAlignment="1">
      <alignment/>
    </xf>
    <xf numFmtId="167" fontId="0" fillId="0" borderId="0" xfId="0" applyNumberFormat="1" applyAlignment="1">
      <alignment/>
    </xf>
    <xf numFmtId="165" fontId="2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6" fontId="21" fillId="0" borderId="0" xfId="15" applyNumberFormat="1" applyFont="1" applyAlignment="1">
      <alignment/>
    </xf>
    <xf numFmtId="0" fontId="13" fillId="0" borderId="0" xfId="0" applyFont="1" applyAlignment="1">
      <alignment/>
    </xf>
    <xf numFmtId="165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65" fontId="13" fillId="0" borderId="0" xfId="0" applyNumberFormat="1" applyFont="1" applyFill="1" applyBorder="1" applyAlignment="1">
      <alignment horizontal="right"/>
    </xf>
    <xf numFmtId="9" fontId="0" fillId="0" borderId="0" xfId="0" applyNumberFormat="1" applyAlignment="1">
      <alignment/>
    </xf>
    <xf numFmtId="172" fontId="13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65" fontId="12" fillId="0" borderId="0" xfId="0" applyNumberFormat="1" applyFont="1" applyFill="1" applyBorder="1" applyAlignment="1">
      <alignment/>
    </xf>
    <xf numFmtId="9" fontId="12" fillId="0" borderId="0" xfId="21" applyFont="1" applyFill="1" applyBorder="1" applyAlignment="1">
      <alignment/>
    </xf>
    <xf numFmtId="166" fontId="0" fillId="0" borderId="0" xfId="15" applyNumberFormat="1" applyAlignment="1">
      <alignment/>
    </xf>
    <xf numFmtId="164" fontId="0" fillId="0" borderId="0" xfId="0" applyNumberFormat="1" applyAlignment="1">
      <alignment/>
    </xf>
    <xf numFmtId="3" fontId="22" fillId="0" borderId="0" xfId="0" applyNumberFormat="1" applyFont="1" applyAlignment="1">
      <alignment horizontal="center"/>
    </xf>
    <xf numFmtId="9" fontId="0" fillId="0" borderId="0" xfId="21" applyFont="1" applyAlignment="1">
      <alignment/>
    </xf>
    <xf numFmtId="1" fontId="0" fillId="0" borderId="0" xfId="21" applyNumberFormat="1" applyFont="1" applyAlignment="1">
      <alignment/>
    </xf>
    <xf numFmtId="3" fontId="23" fillId="0" borderId="0" xfId="0" applyNumberFormat="1" applyFont="1" applyAlignment="1">
      <alignment horizontal="right"/>
    </xf>
    <xf numFmtId="9" fontId="0" fillId="0" borderId="0" xfId="2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167" fontId="18" fillId="0" borderId="0" xfId="15" applyNumberFormat="1" applyFont="1" applyAlignment="1">
      <alignment/>
    </xf>
    <xf numFmtId="1" fontId="0" fillId="0" borderId="0" xfId="21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2" fontId="0" fillId="0" borderId="0" xfId="21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/>
    </xf>
    <xf numFmtId="165" fontId="0" fillId="0" borderId="4" xfId="0" applyNumberFormat="1" applyBorder="1" applyAlignment="1">
      <alignment/>
    </xf>
    <xf numFmtId="9" fontId="0" fillId="0" borderId="4" xfId="21" applyBorder="1" applyAlignment="1">
      <alignment/>
    </xf>
    <xf numFmtId="165" fontId="0" fillId="0" borderId="4" xfId="21" applyNumberFormat="1" applyBorder="1" applyAlignment="1">
      <alignment/>
    </xf>
    <xf numFmtId="9" fontId="0" fillId="0" borderId="0" xfId="0" applyNumberFormat="1" applyAlignment="1">
      <alignment horizontal="right"/>
    </xf>
    <xf numFmtId="167" fontId="0" fillId="0" borderId="0" xfId="15" applyNumberFormat="1" applyAlignment="1">
      <alignment horizontal="right"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21" applyNumberFormat="1" applyFont="1" applyAlignment="1">
      <alignment/>
    </xf>
    <xf numFmtId="3" fontId="0" fillId="0" borderId="0" xfId="21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15" applyNumberFormat="1" applyAlignment="1">
      <alignment/>
    </xf>
    <xf numFmtId="167" fontId="7" fillId="0" borderId="0" xfId="15" applyNumberFormat="1" applyFont="1" applyAlignment="1">
      <alignment horizontal="left"/>
    </xf>
    <xf numFmtId="167" fontId="7" fillId="0" borderId="0" xfId="15" applyNumberFormat="1" applyFont="1" applyAlignment="1">
      <alignment/>
    </xf>
    <xf numFmtId="0" fontId="7" fillId="0" borderId="0" xfId="0" applyFont="1" applyAlignment="1">
      <alignment/>
    </xf>
    <xf numFmtId="165" fontId="0" fillId="0" borderId="0" xfId="21" applyNumberFormat="1" applyFont="1" applyAlignment="1" quotePrefix="1">
      <alignment horizontal="right"/>
    </xf>
    <xf numFmtId="167" fontId="0" fillId="0" borderId="0" xfId="15" applyNumberFormat="1" applyFont="1" applyAlignment="1">
      <alignment horizontal="right"/>
    </xf>
    <xf numFmtId="10" fontId="0" fillId="0" borderId="0" xfId="21" applyNumberFormat="1" applyAlignment="1">
      <alignment/>
    </xf>
    <xf numFmtId="165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465"/>
          <c:w val="0.843"/>
          <c:h val="0.86075"/>
        </c:manualLayout>
      </c:layout>
      <c:lineChart>
        <c:grouping val="standard"/>
        <c:varyColors val="0"/>
        <c:ser>
          <c:idx val="0"/>
          <c:order val="0"/>
          <c:tx>
            <c:v>Revenue ($)</c:v>
          </c:tx>
          <c:spPr>
            <a:ln w="25400">
              <a:solidFill>
                <a:srgbClr val="006411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Numbers!$J$12:$J$50</c:f>
              <c:numCache/>
            </c:numRef>
          </c:cat>
          <c:val>
            <c:numRef>
              <c:f>Numbers!$K$12:$K$50</c:f>
              <c:numCache/>
            </c:numRef>
          </c:val>
          <c:smooth val="0"/>
        </c:ser>
        <c:ser>
          <c:idx val="1"/>
          <c:order val="1"/>
          <c:tx>
            <c:v>Spending ($)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Numbers!$J$12:$J$50</c:f>
              <c:numCache/>
            </c:numRef>
          </c:cat>
          <c:val>
            <c:numRef>
              <c:f>Numbers!$L$12:$L$50</c:f>
              <c:numCache/>
            </c:numRef>
          </c:val>
          <c:smooth val="0"/>
        </c:ser>
        <c:ser>
          <c:idx val="3"/>
          <c:order val="2"/>
          <c:tx>
            <c:v>Debt (%GDP)</c:v>
          </c:tx>
          <c:spPr>
            <a:ln w="25400">
              <a:solidFill>
                <a:srgbClr val="0000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Numbers!$J$12:$J$50</c:f>
              <c:numCache/>
            </c:numRef>
          </c:cat>
          <c:val>
            <c:numRef>
              <c:f>Numbers!$AB$12:$AB$55</c:f>
              <c:numCache/>
            </c:numRef>
          </c:val>
          <c:smooth val="0"/>
        </c:ser>
        <c:axId val="6848445"/>
        <c:axId val="61636006"/>
      </c:lineChart>
      <c:catAx>
        <c:axId val="6848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>
                <a:latin typeface="Verdana"/>
                <a:ea typeface="Verdana"/>
                <a:cs typeface="Verdana"/>
              </a:defRPr>
            </a:pPr>
          </a:p>
        </c:txPr>
        <c:crossAx val="61636006"/>
        <c:crosses val="autoZero"/>
        <c:auto val="1"/>
        <c:lblOffset val="100"/>
        <c:noMultiLvlLbl val="0"/>
      </c:catAx>
      <c:valAx>
        <c:axId val="61636006"/>
        <c:scaling>
          <c:orientation val="minMax"/>
          <c:max val="1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>
                <a:latin typeface="Verdana"/>
                <a:ea typeface="Verdana"/>
                <a:cs typeface="Verdana"/>
              </a:defRPr>
            </a:pPr>
          </a:p>
        </c:txPr>
        <c:crossAx val="6848445"/>
        <c:crossesAt val="1"/>
        <c:crossBetween val="between"/>
        <c:dispUnits/>
        <c:majorUnit val="2000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3175"/>
          <c:w val="0.854"/>
          <c:h val="0.8885"/>
        </c:manualLayout>
      </c:layout>
      <c:lineChart>
        <c:grouping val="standard"/>
        <c:varyColors val="0"/>
        <c:ser>
          <c:idx val="0"/>
          <c:order val="0"/>
          <c:tx>
            <c:v>Revenue ($)</c:v>
          </c:tx>
          <c:spPr>
            <a:ln w="25400">
              <a:solidFill>
                <a:srgbClr val="006411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Numbers!$J$12:$J$50</c:f>
              <c:numCache>
                <c:ptCount val="3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</c:numCache>
            </c:numRef>
          </c:cat>
          <c:val>
            <c:numRef>
              <c:f>Numbers!$K$12:$K$50</c:f>
              <c:numCache>
                <c:ptCount val="39"/>
                <c:pt idx="0">
                  <c:v>2568</c:v>
                </c:pt>
                <c:pt idx="1">
                  <c:v>2525</c:v>
                </c:pt>
                <c:pt idx="2">
                  <c:v>2105</c:v>
                </c:pt>
                <c:pt idx="3">
                  <c:v>2163</c:v>
                </c:pt>
                <c:pt idx="4">
                  <c:v>2304</c:v>
                </c:pt>
                <c:pt idx="5">
                  <c:v>2469</c:v>
                </c:pt>
                <c:pt idx="6">
                  <c:v>2902</c:v>
                </c:pt>
                <c:pt idx="7">
                  <c:v>3433.359188760126</c:v>
                </c:pt>
                <c:pt idx="8">
                  <c:v>3404.8623074934167</c:v>
                </c:pt>
                <c:pt idx="9">
                  <c:v>3592.1297344055542</c:v>
                </c:pt>
                <c:pt idx="10">
                  <c:v>3789.6968697978596</c:v>
                </c:pt>
                <c:pt idx="11">
                  <c:v>3998.1301976367417</c:v>
                </c:pt>
                <c:pt idx="12">
                  <c:v>4218.0273585067625</c:v>
                </c:pt>
                <c:pt idx="13">
                  <c:v>4450.0188632246345</c:v>
                </c:pt>
                <c:pt idx="14">
                  <c:v>4694.769900701989</c:v>
                </c:pt>
                <c:pt idx="15">
                  <c:v>4952.982245240598</c:v>
                </c:pt>
                <c:pt idx="16">
                  <c:v>5225.39626872883</c:v>
                </c:pt>
                <c:pt idx="17">
                  <c:v>5512.793063508916</c:v>
                </c:pt>
                <c:pt idx="18">
                  <c:v>5815.996682001906</c:v>
                </c:pt>
                <c:pt idx="19">
                  <c:v>6135.876499512011</c:v>
                </c:pt>
                <c:pt idx="20">
                  <c:v>6473.349706985171</c:v>
                </c:pt>
                <c:pt idx="21">
                  <c:v>6829.383940869355</c:v>
                </c:pt>
                <c:pt idx="22">
                  <c:v>7205.000057617169</c:v>
                </c:pt>
                <c:pt idx="23">
                  <c:v>7601.275060786113</c:v>
                </c:pt>
                <c:pt idx="24">
                  <c:v>8019.345189129348</c:v>
                </c:pt>
                <c:pt idx="25">
                  <c:v>8460.409174531462</c:v>
                </c:pt>
                <c:pt idx="26">
                  <c:v>8925.731679130691</c:v>
                </c:pt>
                <c:pt idx="27">
                  <c:v>9416.64692148288</c:v>
                </c:pt>
                <c:pt idx="28">
                  <c:v>9934.562502164437</c:v>
                </c:pt>
                <c:pt idx="29">
                  <c:v>10480.963439783482</c:v>
                </c:pt>
                <c:pt idx="30">
                  <c:v>11057.416428971572</c:v>
                </c:pt>
                <c:pt idx="31">
                  <c:v>11665.574332565007</c:v>
                </c:pt>
                <c:pt idx="32">
                  <c:v>12307.180920856083</c:v>
                </c:pt>
                <c:pt idx="33">
                  <c:v>12984.075871503166</c:v>
                </c:pt>
                <c:pt idx="34">
                  <c:v>13698.20004443584</c:v>
                </c:pt>
                <c:pt idx="35">
                  <c:v>14451.60104687981</c:v>
                </c:pt>
                <c:pt idx="36">
                  <c:v>15246.439104458199</c:v>
                </c:pt>
                <c:pt idx="37">
                  <c:v>16084.993255203399</c:v>
                </c:pt>
                <c:pt idx="38">
                  <c:v>16969.667884239585</c:v>
                </c:pt>
              </c:numCache>
            </c:numRef>
          </c:val>
          <c:smooth val="0"/>
        </c:ser>
        <c:ser>
          <c:idx val="1"/>
          <c:order val="1"/>
          <c:tx>
            <c:v>Spending ($)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Numbers!$J$12:$J$50</c:f>
              <c:numCache>
                <c:ptCount val="3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</c:numCache>
            </c:numRef>
          </c:cat>
          <c:val>
            <c:numRef>
              <c:f>Numbers!$L$12:$L$50</c:f>
              <c:numCache>
                <c:ptCount val="39"/>
                <c:pt idx="0">
                  <c:v>2729</c:v>
                </c:pt>
                <c:pt idx="1">
                  <c:v>2983</c:v>
                </c:pt>
                <c:pt idx="2">
                  <c:v>3518</c:v>
                </c:pt>
                <c:pt idx="3">
                  <c:v>3456</c:v>
                </c:pt>
                <c:pt idx="4">
                  <c:v>3603</c:v>
                </c:pt>
                <c:pt idx="5">
                  <c:v>3796</c:v>
                </c:pt>
                <c:pt idx="6">
                  <c:v>3803</c:v>
                </c:pt>
                <c:pt idx="7">
                  <c:v>4042.0014399918273</c:v>
                </c:pt>
                <c:pt idx="8">
                  <c:v>4076.7799265444464</c:v>
                </c:pt>
                <c:pt idx="9">
                  <c:v>4145.163763815099</c:v>
                </c:pt>
                <c:pt idx="10">
                  <c:v>4221.622579613911</c:v>
                </c:pt>
                <c:pt idx="11">
                  <c:v>4305.925682473833</c:v>
                </c:pt>
                <c:pt idx="12">
                  <c:v>4397.836668568093</c:v>
                </c:pt>
                <c:pt idx="13">
                  <c:v>4610.742040273053</c:v>
                </c:pt>
                <c:pt idx="14">
                  <c:v>4833.078239792857</c:v>
                </c:pt>
                <c:pt idx="15">
                  <c:v>5065.180421722623</c:v>
                </c:pt>
                <c:pt idx="16">
                  <c:v>5307.384490828847</c:v>
                </c:pt>
                <c:pt idx="17">
                  <c:v>5543.624316933685</c:v>
                </c:pt>
                <c:pt idx="18">
                  <c:v>5787.9796561215935</c:v>
                </c:pt>
                <c:pt idx="19">
                  <c:v>6040.433409219799</c:v>
                </c:pt>
                <c:pt idx="20">
                  <c:v>6300.920260493308</c:v>
                </c:pt>
                <c:pt idx="21">
                  <c:v>6569.3189438742</c:v>
                </c:pt>
                <c:pt idx="22">
                  <c:v>6850.90859159311</c:v>
                </c:pt>
                <c:pt idx="23">
                  <c:v>7140.870910223543</c:v>
                </c:pt>
                <c:pt idx="24">
                  <c:v>7438.978943730768</c:v>
                </c:pt>
                <c:pt idx="25">
                  <c:v>7744.921715298078</c:v>
                </c:pt>
                <c:pt idx="26">
                  <c:v>8058.2917577107655</c:v>
                </c:pt>
                <c:pt idx="27">
                  <c:v>8409.805217435523</c:v>
                </c:pt>
                <c:pt idx="28">
                  <c:v>8732.25876276526</c:v>
                </c:pt>
                <c:pt idx="29">
                  <c:v>9060.055701686213</c:v>
                </c:pt>
                <c:pt idx="30">
                  <c:v>9392.273512090022</c:v>
                </c:pt>
                <c:pt idx="31">
                  <c:v>9727.811001689213</c:v>
                </c:pt>
                <c:pt idx="32">
                  <c:v>10065.364173844451</c:v>
                </c:pt>
                <c:pt idx="33">
                  <c:v>10414.651995571792</c:v>
                </c:pt>
                <c:pt idx="34">
                  <c:v>10878.789860530587</c:v>
                </c:pt>
                <c:pt idx="35">
                  <c:v>11363.906208150165</c:v>
                </c:pt>
                <c:pt idx="36">
                  <c:v>11870.959103299312</c:v>
                </c:pt>
                <c:pt idx="37">
                  <c:v>12400.950643525655</c:v>
                </c:pt>
                <c:pt idx="38">
                  <c:v>12954.928987191524</c:v>
                </c:pt>
              </c:numCache>
            </c:numRef>
          </c:val>
          <c:smooth val="0"/>
        </c:ser>
        <c:ser>
          <c:idx val="3"/>
          <c:order val="2"/>
          <c:tx>
            <c:v>Debt (%GDP)</c:v>
          </c:tx>
          <c:spPr>
            <a:ln w="25400">
              <a:solidFill>
                <a:srgbClr val="0000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Numbers!$J$12:$J$50</c:f>
              <c:numCache>
                <c:ptCount val="3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</c:numCache>
            </c:numRef>
          </c:cat>
          <c:val>
            <c:numRef>
              <c:f>Numbers!$AB$12:$AB$55</c:f>
              <c:numCache>
                <c:ptCount val="44"/>
                <c:pt idx="0">
                  <c:v>3598.9735547793857</c:v>
                </c:pt>
                <c:pt idx="1">
                  <c:v>4042.034936321247</c:v>
                </c:pt>
                <c:pt idx="2">
                  <c:v>5180.429012124256</c:v>
                </c:pt>
                <c:pt idx="3">
                  <c:v>5860.810903834239</c:v>
                </c:pt>
                <c:pt idx="4">
                  <c:v>6501.258778322512</c:v>
                </c:pt>
                <c:pt idx="5">
                  <c:v>7140.110242276632</c:v>
                </c:pt>
                <c:pt idx="6">
                  <c:v>7371.288644015916</c:v>
                </c:pt>
                <c:pt idx="7">
                  <c:v>7373.305112632141</c:v>
                </c:pt>
                <c:pt idx="8">
                  <c:v>7360.1486168644415</c:v>
                </c:pt>
                <c:pt idx="9">
                  <c:v>7266.065753222384</c:v>
                </c:pt>
                <c:pt idx="10">
                  <c:v>7101.671477250581</c:v>
                </c:pt>
                <c:pt idx="11">
                  <c:v>6876.264768040169</c:v>
                </c:pt>
                <c:pt idx="12">
                  <c:v>6597.979025885042</c:v>
                </c:pt>
                <c:pt idx="13">
                  <c:v>6321.952023763304</c:v>
                </c:pt>
                <c:pt idx="14">
                  <c:v>6047.791406522434</c:v>
                </c:pt>
                <c:pt idx="15">
                  <c:v>5775.11748526556</c:v>
                </c:pt>
                <c:pt idx="16">
                  <c:v>5503.561403441404</c:v>
                </c:pt>
                <c:pt idx="17">
                  <c:v>5227.1667232176915</c:v>
                </c:pt>
                <c:pt idx="18">
                  <c:v>4945.598299329223</c:v>
                </c:pt>
                <c:pt idx="19">
                  <c:v>4658.509241208489</c:v>
                </c:pt>
                <c:pt idx="20">
                  <c:v>4365.539836918037</c:v>
                </c:pt>
                <c:pt idx="21">
                  <c:v>4066.3164351017026</c:v>
                </c:pt>
                <c:pt idx="22">
                  <c:v>3761.877179770032</c:v>
                </c:pt>
                <c:pt idx="23">
                  <c:v>3451.818359923217</c:v>
                </c:pt>
                <c:pt idx="24">
                  <c:v>3135.723064417212</c:v>
                </c:pt>
                <c:pt idx="25">
                  <c:v>2813.1597775717023</c:v>
                </c:pt>
                <c:pt idx="26">
                  <c:v>2483.6809253346855</c:v>
                </c:pt>
                <c:pt idx="27">
                  <c:v>2153.061077825641</c:v>
                </c:pt>
                <c:pt idx="28">
                  <c:v>1813.151062569892</c:v>
                </c:pt>
                <c:pt idx="29">
                  <c:v>1463.593981143217</c:v>
                </c:pt>
                <c:pt idx="30">
                  <c:v>1104.004398988927</c:v>
                </c:pt>
                <c:pt idx="31">
                  <c:v>733.9671931739463</c:v>
                </c:pt>
                <c:pt idx="32">
                  <c:v>353.03626525045024</c:v>
                </c:pt>
                <c:pt idx="33">
                  <c:v>-37.63652151543304</c:v>
                </c:pt>
                <c:pt idx="34">
                  <c:v>-422.8659295306037</c:v>
                </c:pt>
                <c:pt idx="35">
                  <c:v>-802.7498991691846</c:v>
                </c:pt>
                <c:pt idx="36">
                  <c:v>-1177.3842349570214</c:v>
                </c:pt>
                <c:pt idx="37">
                  <c:v>-1546.8626660806185</c:v>
                </c:pt>
                <c:pt idx="38">
                  <c:v>-1911.2769046409483</c:v>
                </c:pt>
                <c:pt idx="39">
                  <c:v>-2270.7167017540446</c:v>
                </c:pt>
                <c:pt idx="40">
                  <c:v>-2625.2700011937254</c:v>
                </c:pt>
                <c:pt idx="41">
                  <c:v>-2975.0227766974704</c:v>
                </c:pt>
                <c:pt idx="42">
                  <c:v>-3320.0591989691316</c:v>
                </c:pt>
                <c:pt idx="43">
                  <c:v>-3660.46168394717</c:v>
                </c:pt>
              </c:numCache>
            </c:numRef>
          </c:val>
          <c:smooth val="0"/>
        </c:ser>
        <c:axId val="17853143"/>
        <c:axId val="26460560"/>
      </c:lineChart>
      <c:catAx>
        <c:axId val="17853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Verdana"/>
                <a:ea typeface="Verdana"/>
                <a:cs typeface="Verdana"/>
              </a:defRPr>
            </a:pPr>
          </a:p>
        </c:txPr>
        <c:crossAx val="26460560"/>
        <c:crosses val="autoZero"/>
        <c:auto val="1"/>
        <c:lblOffset val="100"/>
        <c:noMultiLvlLbl val="0"/>
      </c:catAx>
      <c:valAx>
        <c:axId val="26460560"/>
        <c:scaling>
          <c:orientation val="minMax"/>
          <c:max val="1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Verdana"/>
                <a:ea typeface="Verdana"/>
                <a:cs typeface="Verdana"/>
              </a:defRPr>
            </a:pPr>
          </a:p>
        </c:txPr>
        <c:crossAx val="17853143"/>
        <c:crossesAt val="1"/>
        <c:crossBetween val="between"/>
        <c:dispUnits/>
        <c:majorUnit val="2000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0.89625</cdr:x>
      <cdr:y>0.327</cdr:y>
    </cdr:from>
    <cdr:to>
      <cdr:x>0.9805</cdr:x>
      <cdr:y>0.3995</cdr:y>
    </cdr:to>
    <cdr:sp>
      <cdr:nvSpPr>
        <cdr:cNvPr id="1" name="TextBox 1"/>
        <cdr:cNvSpPr txBox="1">
          <a:spLocks noChangeArrowheads="1"/>
        </cdr:cNvSpPr>
      </cdr:nvSpPr>
      <cdr:spPr>
        <a:xfrm>
          <a:off x="3343275" y="857250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Verdana"/>
              <a:ea typeface="Verdana"/>
              <a:cs typeface="Verdana"/>
            </a:rPr>
            <a:t>60%</a:t>
          </a:r>
        </a:p>
      </cdr:txBody>
    </cdr:sp>
  </cdr:relSizeAnchor>
  <cdr:relSizeAnchor xmlns:cdr="http://schemas.openxmlformats.org/drawingml/2006/chartDrawing">
    <cdr:from>
      <cdr:x>0.0175</cdr:x>
      <cdr:y>0.2315</cdr:y>
    </cdr:from>
    <cdr:to>
      <cdr:x>0.0685</cdr:x>
      <cdr:y>0.57575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600075"/>
          <a:ext cx="19050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800" b="1" i="0" u="none" baseline="0">
              <a:latin typeface="Verdana"/>
              <a:ea typeface="Verdana"/>
              <a:cs typeface="Verdana"/>
            </a:rPr>
            <a:t>Dollars (billions) </a:t>
          </a:r>
        </a:p>
      </cdr:txBody>
    </cdr:sp>
  </cdr:relSizeAnchor>
  <cdr:relSizeAnchor xmlns:cdr="http://schemas.openxmlformats.org/drawingml/2006/chartDrawing">
    <cdr:from>
      <cdr:x>0.50275</cdr:x>
      <cdr:y>0.8615</cdr:y>
    </cdr:from>
    <cdr:to>
      <cdr:x>0.57925</cdr:x>
      <cdr:y>0.934</cdr:y>
    </cdr:to>
    <cdr:sp>
      <cdr:nvSpPr>
        <cdr:cNvPr id="3" name="TextBox 3"/>
        <cdr:cNvSpPr txBox="1">
          <a:spLocks noChangeArrowheads="1"/>
        </cdr:cNvSpPr>
      </cdr:nvSpPr>
      <cdr:spPr>
        <a:xfrm>
          <a:off x="1876425" y="2257425"/>
          <a:ext cx="285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Verdana"/>
              <a:ea typeface="Verdana"/>
              <a:cs typeface="Verdana"/>
            </a:rPr>
            <a:t>Year</a:t>
          </a:r>
        </a:p>
      </cdr:txBody>
    </cdr:sp>
  </cdr:relSizeAnchor>
  <cdr:relSizeAnchor xmlns:cdr="http://schemas.openxmlformats.org/drawingml/2006/chartDrawing">
    <cdr:from>
      <cdr:x>0.27625</cdr:x>
      <cdr:y>0.62825</cdr:y>
    </cdr:from>
    <cdr:to>
      <cdr:x>0.5085</cdr:x>
      <cdr:y>0.755</cdr:y>
    </cdr:to>
    <cdr:sp>
      <cdr:nvSpPr>
        <cdr:cNvPr id="4" name="TextBox 4"/>
        <cdr:cNvSpPr txBox="1">
          <a:spLocks noChangeArrowheads="1"/>
        </cdr:cNvSpPr>
      </cdr:nvSpPr>
      <cdr:spPr>
        <a:xfrm>
          <a:off x="1028700" y="1647825"/>
          <a:ext cx="866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Verdana"/>
              <a:ea typeface="Verdana"/>
              <a:cs typeface="Verdana"/>
            </a:rPr>
            <a:t>FAIRSHARE  -&gt;
TAX &amp; SPENDING</a:t>
          </a:r>
        </a:p>
      </cdr:txBody>
    </cdr:sp>
  </cdr:relSizeAnchor>
  <cdr:relSizeAnchor xmlns:cdr="http://schemas.openxmlformats.org/drawingml/2006/chartDrawing">
    <cdr:from>
      <cdr:x>0.26475</cdr:x>
      <cdr:y>0.0855</cdr:y>
    </cdr:from>
    <cdr:to>
      <cdr:x>0.2655</cdr:x>
      <cdr:y>0.725</cdr:y>
    </cdr:to>
    <cdr:sp>
      <cdr:nvSpPr>
        <cdr:cNvPr id="5" name="Line 5"/>
        <cdr:cNvSpPr>
          <a:spLocks/>
        </cdr:cNvSpPr>
      </cdr:nvSpPr>
      <cdr:spPr>
        <a:xfrm flipV="1">
          <a:off x="981075" y="219075"/>
          <a:ext cx="0" cy="1685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0.1395</cdr:x>
      <cdr:y>0.62825</cdr:y>
    </cdr:from>
    <cdr:to>
      <cdr:x>0.29</cdr:x>
      <cdr:y>0.755</cdr:y>
    </cdr:to>
    <cdr:sp>
      <cdr:nvSpPr>
        <cdr:cNvPr id="6" name="TextBox 6"/>
        <cdr:cNvSpPr txBox="1">
          <a:spLocks noChangeArrowheads="1"/>
        </cdr:cNvSpPr>
      </cdr:nvSpPr>
      <cdr:spPr>
        <a:xfrm>
          <a:off x="514350" y="1647825"/>
          <a:ext cx="5619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1" i="0" u="none" baseline="0">
              <a:latin typeface="Verdana"/>
              <a:ea typeface="Verdana"/>
              <a:cs typeface="Verdana"/>
            </a:rPr>
            <a:t>CURRENT
&lt;- SYSTEM</a:t>
          </a:r>
        </a:p>
      </cdr:txBody>
    </cdr:sp>
  </cdr:relSizeAnchor>
  <cdr:relSizeAnchor xmlns:cdr="http://schemas.openxmlformats.org/drawingml/2006/chartDrawing">
    <cdr:from>
      <cdr:x>0.653</cdr:x>
      <cdr:y>0.50025</cdr:y>
    </cdr:from>
    <cdr:to>
      <cdr:x>0.778</cdr:x>
      <cdr:y>0.61625</cdr:y>
    </cdr:to>
    <cdr:sp>
      <cdr:nvSpPr>
        <cdr:cNvPr id="7" name="TextBox 7"/>
        <cdr:cNvSpPr txBox="1">
          <a:spLocks noChangeArrowheads="1"/>
        </cdr:cNvSpPr>
      </cdr:nvSpPr>
      <cdr:spPr>
        <a:xfrm>
          <a:off x="2428875" y="1314450"/>
          <a:ext cx="4667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550" b="1" i="0" u="none" baseline="0">
              <a:latin typeface="Verdana"/>
              <a:ea typeface="Verdana"/>
              <a:cs typeface="Verdana"/>
            </a:rPr>
            <a:t>Federal Debt
(%GDP)-&gt;</a:t>
          </a:r>
        </a:p>
      </cdr:txBody>
    </cdr:sp>
  </cdr:relSizeAnchor>
  <cdr:relSizeAnchor xmlns:cdr="http://schemas.openxmlformats.org/drawingml/2006/chartDrawing">
    <cdr:from>
      <cdr:x>0.89625</cdr:x>
      <cdr:y>0.1815</cdr:y>
    </cdr:from>
    <cdr:to>
      <cdr:x>0.9805</cdr:x>
      <cdr:y>0.254</cdr:y>
    </cdr:to>
    <cdr:sp>
      <cdr:nvSpPr>
        <cdr:cNvPr id="8" name="TextBox 8"/>
        <cdr:cNvSpPr txBox="1">
          <a:spLocks noChangeArrowheads="1"/>
        </cdr:cNvSpPr>
      </cdr:nvSpPr>
      <cdr:spPr>
        <a:xfrm>
          <a:off x="3343275" y="476250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Verdana"/>
              <a:ea typeface="Verdana"/>
              <a:cs typeface="Verdana"/>
            </a:rPr>
            <a:t>80%</a:t>
          </a:r>
        </a:p>
      </cdr:txBody>
    </cdr:sp>
  </cdr:relSizeAnchor>
  <cdr:relSizeAnchor xmlns:cdr="http://schemas.openxmlformats.org/drawingml/2006/chartDrawing">
    <cdr:from>
      <cdr:x>0.89625</cdr:x>
      <cdr:y>0.476</cdr:y>
    </cdr:from>
    <cdr:to>
      <cdr:x>0.9805</cdr:x>
      <cdr:y>0.5485</cdr:y>
    </cdr:to>
    <cdr:sp>
      <cdr:nvSpPr>
        <cdr:cNvPr id="9" name="TextBox 9"/>
        <cdr:cNvSpPr txBox="1">
          <a:spLocks noChangeArrowheads="1"/>
        </cdr:cNvSpPr>
      </cdr:nvSpPr>
      <cdr:spPr>
        <a:xfrm>
          <a:off x="3343275" y="124777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Verdana"/>
              <a:ea typeface="Verdana"/>
              <a:cs typeface="Verdana"/>
            </a:rPr>
            <a:t>40%</a:t>
          </a:r>
        </a:p>
      </cdr:txBody>
    </cdr:sp>
  </cdr:relSizeAnchor>
  <cdr:relSizeAnchor xmlns:cdr="http://schemas.openxmlformats.org/drawingml/2006/chartDrawing">
    <cdr:from>
      <cdr:x>0.89625</cdr:x>
      <cdr:y>0.61025</cdr:y>
    </cdr:from>
    <cdr:to>
      <cdr:x>0.9805</cdr:x>
      <cdr:y>0.68275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343275" y="1600200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Verdana"/>
              <a:ea typeface="Verdana"/>
              <a:cs typeface="Verdana"/>
            </a:rPr>
            <a:t>20%</a:t>
          </a:r>
        </a:p>
      </cdr:txBody>
    </cdr:sp>
  </cdr:relSizeAnchor>
  <cdr:relSizeAnchor xmlns:cdr="http://schemas.openxmlformats.org/drawingml/2006/chartDrawing">
    <cdr:from>
      <cdr:x>0.89625</cdr:x>
      <cdr:y>0.7515</cdr:y>
    </cdr:from>
    <cdr:to>
      <cdr:x>0.97025</cdr:x>
      <cdr:y>0.824</cdr:y>
    </cdr:to>
    <cdr:sp>
      <cdr:nvSpPr>
        <cdr:cNvPr id="11" name="TextBox 11"/>
        <cdr:cNvSpPr txBox="1">
          <a:spLocks noChangeArrowheads="1"/>
        </cdr:cNvSpPr>
      </cdr:nvSpPr>
      <cdr:spPr>
        <a:xfrm>
          <a:off x="3343275" y="19716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Verdana"/>
              <a:ea typeface="Verdana"/>
              <a:cs typeface="Verdana"/>
            </a:rPr>
            <a:t> 0%</a:t>
          </a:r>
        </a:p>
      </cdr:txBody>
    </cdr:sp>
  </cdr:relSizeAnchor>
  <cdr:relSizeAnchor xmlns:cdr="http://schemas.openxmlformats.org/drawingml/2006/chartDrawing">
    <cdr:from>
      <cdr:x>0.70625</cdr:x>
      <cdr:y>0.137</cdr:y>
    </cdr:from>
    <cdr:to>
      <cdr:x>0.8465</cdr:x>
      <cdr:y>0.20575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628900" y="352425"/>
          <a:ext cx="523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50" b="1" i="0" u="none" baseline="0">
              <a:latin typeface="Verdana"/>
              <a:ea typeface="Verdana"/>
              <a:cs typeface="Verdana"/>
            </a:rPr>
            <a:t>Spending ($)</a:t>
          </a:r>
        </a:p>
      </cdr:txBody>
    </cdr:sp>
  </cdr:relSizeAnchor>
  <cdr:relSizeAnchor xmlns:cdr="http://schemas.openxmlformats.org/drawingml/2006/chartDrawing">
    <cdr:from>
      <cdr:x>0.5225</cdr:x>
      <cdr:y>0.1125</cdr:y>
    </cdr:from>
    <cdr:to>
      <cdr:x>0.6475</cdr:x>
      <cdr:y>0.18125</cdr:y>
    </cdr:to>
    <cdr:sp>
      <cdr:nvSpPr>
        <cdr:cNvPr id="13" name="TextBox 13"/>
        <cdr:cNvSpPr txBox="1">
          <a:spLocks noChangeArrowheads="1"/>
        </cdr:cNvSpPr>
      </cdr:nvSpPr>
      <cdr:spPr>
        <a:xfrm>
          <a:off x="1943100" y="29527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50" b="1" i="0" u="none" baseline="0">
              <a:latin typeface="Verdana"/>
              <a:ea typeface="Verdana"/>
              <a:cs typeface="Verdana"/>
            </a:rPr>
            <a:t>Revenue ($)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7</xdr:col>
      <xdr:colOff>771525</xdr:colOff>
      <xdr:row>23</xdr:row>
      <xdr:rowOff>38100</xdr:rowOff>
    </xdr:to>
    <xdr:graphicFrame>
      <xdr:nvGraphicFramePr>
        <xdr:cNvPr id="1" name="Chart 5"/>
        <xdr:cNvGraphicFramePr/>
      </xdr:nvGraphicFramePr>
      <xdr:xfrm>
        <a:off x="2486025" y="1219200"/>
        <a:ext cx="37338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0.322</cdr:y>
    </cdr:from>
    <cdr:to>
      <cdr:x>0.96575</cdr:x>
      <cdr:y>0.37925</cdr:y>
    </cdr:to>
    <cdr:sp>
      <cdr:nvSpPr>
        <cdr:cNvPr id="1" name="TextBox 1"/>
        <cdr:cNvSpPr txBox="1">
          <a:spLocks noChangeArrowheads="1"/>
        </cdr:cNvSpPr>
      </cdr:nvSpPr>
      <cdr:spPr>
        <a:xfrm>
          <a:off x="6296025" y="1285875"/>
          <a:ext cx="428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60%</a:t>
          </a:r>
        </a:p>
      </cdr:txBody>
    </cdr:sp>
  </cdr:relSizeAnchor>
  <cdr:relSizeAnchor xmlns:cdr="http://schemas.openxmlformats.org/drawingml/2006/chartDrawing">
    <cdr:from>
      <cdr:x>0.01625</cdr:x>
      <cdr:y>0.22</cdr:y>
    </cdr:from>
    <cdr:to>
      <cdr:x>0.05175</cdr:x>
      <cdr:y>0.60325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" y="876300"/>
          <a:ext cx="247650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Dollars (billions) </a:t>
          </a:r>
        </a:p>
      </cdr:txBody>
    </cdr:sp>
  </cdr:relSizeAnchor>
  <cdr:relSizeAnchor xmlns:cdr="http://schemas.openxmlformats.org/drawingml/2006/chartDrawing">
    <cdr:from>
      <cdr:x>0.5</cdr:x>
      <cdr:y>0.914</cdr:y>
    </cdr:from>
    <cdr:to>
      <cdr:x>0.5685</cdr:x>
      <cdr:y>0.97825</cdr:y>
    </cdr:to>
    <cdr:sp>
      <cdr:nvSpPr>
        <cdr:cNvPr id="3" name="TextBox 3"/>
        <cdr:cNvSpPr txBox="1">
          <a:spLocks noChangeArrowheads="1"/>
        </cdr:cNvSpPr>
      </cdr:nvSpPr>
      <cdr:spPr>
        <a:xfrm>
          <a:off x="3476625" y="3648075"/>
          <a:ext cx="476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Year</a:t>
          </a:r>
        </a:p>
      </cdr:txBody>
    </cdr:sp>
  </cdr:relSizeAnchor>
  <cdr:relSizeAnchor xmlns:cdr="http://schemas.openxmlformats.org/drawingml/2006/chartDrawing">
    <cdr:from>
      <cdr:x>0.26775</cdr:x>
      <cdr:y>0.67525</cdr:y>
    </cdr:from>
    <cdr:to>
      <cdr:x>0.4415</cdr:x>
      <cdr:y>0.7705</cdr:y>
    </cdr:to>
    <cdr:sp>
      <cdr:nvSpPr>
        <cdr:cNvPr id="4" name="TextBox 4"/>
        <cdr:cNvSpPr txBox="1">
          <a:spLocks noChangeArrowheads="1"/>
        </cdr:cNvSpPr>
      </cdr:nvSpPr>
      <cdr:spPr>
        <a:xfrm>
          <a:off x="1857375" y="2695575"/>
          <a:ext cx="12096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1" i="0" u="none" baseline="0">
              <a:latin typeface="Verdana"/>
              <a:ea typeface="Verdana"/>
              <a:cs typeface="Verdana"/>
            </a:rPr>
            <a:t>FAIRSHARE  -&gt;
TAX &amp; SPENDING</a:t>
          </a:r>
        </a:p>
      </cdr:txBody>
    </cdr:sp>
  </cdr:relSizeAnchor>
  <cdr:relSizeAnchor xmlns:cdr="http://schemas.openxmlformats.org/drawingml/2006/chartDrawing">
    <cdr:from>
      <cdr:x>0.2555</cdr:x>
      <cdr:y>0.065</cdr:y>
    </cdr:from>
    <cdr:to>
      <cdr:x>0.2565</cdr:x>
      <cdr:y>0.74375</cdr:y>
    </cdr:to>
    <cdr:sp>
      <cdr:nvSpPr>
        <cdr:cNvPr id="5" name="Line 5"/>
        <cdr:cNvSpPr>
          <a:spLocks/>
        </cdr:cNvSpPr>
      </cdr:nvSpPr>
      <cdr:spPr>
        <a:xfrm flipV="1">
          <a:off x="1771650" y="257175"/>
          <a:ext cx="9525" cy="2714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0.125</cdr:x>
      <cdr:y>0.67525</cdr:y>
    </cdr:from>
    <cdr:to>
      <cdr:x>0.23725</cdr:x>
      <cdr:y>0.7705</cdr:y>
    </cdr:to>
    <cdr:sp>
      <cdr:nvSpPr>
        <cdr:cNvPr id="6" name="TextBox 6"/>
        <cdr:cNvSpPr txBox="1">
          <a:spLocks noChangeArrowheads="1"/>
        </cdr:cNvSpPr>
      </cdr:nvSpPr>
      <cdr:spPr>
        <a:xfrm>
          <a:off x="866775" y="2695575"/>
          <a:ext cx="781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75" b="1" i="0" u="none" baseline="0">
              <a:latin typeface="Verdana"/>
              <a:ea typeface="Verdana"/>
              <a:cs typeface="Verdana"/>
            </a:rPr>
            <a:t>CURRENT
&lt;- SYSTEM</a:t>
          </a:r>
        </a:p>
      </cdr:txBody>
    </cdr:sp>
  </cdr:relSizeAnchor>
  <cdr:relSizeAnchor xmlns:cdr="http://schemas.openxmlformats.org/drawingml/2006/chartDrawing">
    <cdr:from>
      <cdr:x>0.6265</cdr:x>
      <cdr:y>0.52575</cdr:y>
    </cdr:from>
    <cdr:to>
      <cdr:x>0.75925</cdr:x>
      <cdr:y>0.621</cdr:y>
    </cdr:to>
    <cdr:sp>
      <cdr:nvSpPr>
        <cdr:cNvPr id="7" name="TextBox 7"/>
        <cdr:cNvSpPr txBox="1">
          <a:spLocks noChangeArrowheads="1"/>
        </cdr:cNvSpPr>
      </cdr:nvSpPr>
      <cdr:spPr>
        <a:xfrm>
          <a:off x="4352925" y="2095500"/>
          <a:ext cx="923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Federal Debt
(%GDP)-&gt;</a:t>
          </a:r>
        </a:p>
      </cdr:txBody>
    </cdr:sp>
  </cdr:relSizeAnchor>
  <cdr:relSizeAnchor xmlns:cdr="http://schemas.openxmlformats.org/drawingml/2006/chartDrawing">
    <cdr:from>
      <cdr:x>0.90425</cdr:x>
      <cdr:y>0.169</cdr:y>
    </cdr:from>
    <cdr:to>
      <cdr:x>0.96575</cdr:x>
      <cdr:y>0.22625</cdr:y>
    </cdr:to>
    <cdr:sp>
      <cdr:nvSpPr>
        <cdr:cNvPr id="8" name="TextBox 8"/>
        <cdr:cNvSpPr txBox="1">
          <a:spLocks noChangeArrowheads="1"/>
        </cdr:cNvSpPr>
      </cdr:nvSpPr>
      <cdr:spPr>
        <a:xfrm>
          <a:off x="6296025" y="666750"/>
          <a:ext cx="428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80%</a:t>
          </a:r>
        </a:p>
      </cdr:txBody>
    </cdr:sp>
  </cdr:relSizeAnchor>
  <cdr:relSizeAnchor xmlns:cdr="http://schemas.openxmlformats.org/drawingml/2006/chartDrawing">
    <cdr:from>
      <cdr:x>0.90425</cdr:x>
      <cdr:y>0.47775</cdr:y>
    </cdr:from>
    <cdr:to>
      <cdr:x>0.96575</cdr:x>
      <cdr:y>0.535</cdr:y>
    </cdr:to>
    <cdr:sp>
      <cdr:nvSpPr>
        <cdr:cNvPr id="9" name="TextBox 9"/>
        <cdr:cNvSpPr txBox="1">
          <a:spLocks noChangeArrowheads="1"/>
        </cdr:cNvSpPr>
      </cdr:nvSpPr>
      <cdr:spPr>
        <a:xfrm>
          <a:off x="6296025" y="1905000"/>
          <a:ext cx="428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40%</a:t>
          </a:r>
        </a:p>
      </cdr:txBody>
    </cdr:sp>
  </cdr:relSizeAnchor>
  <cdr:relSizeAnchor xmlns:cdr="http://schemas.openxmlformats.org/drawingml/2006/chartDrawing">
    <cdr:from>
      <cdr:x>0.90425</cdr:x>
      <cdr:y>0.62125</cdr:y>
    </cdr:from>
    <cdr:to>
      <cdr:x>0.96575</cdr:x>
      <cdr:y>0.6785</cdr:y>
    </cdr:to>
    <cdr:sp>
      <cdr:nvSpPr>
        <cdr:cNvPr id="10" name="TextBox 10"/>
        <cdr:cNvSpPr txBox="1">
          <a:spLocks noChangeArrowheads="1"/>
        </cdr:cNvSpPr>
      </cdr:nvSpPr>
      <cdr:spPr>
        <a:xfrm>
          <a:off x="6296025" y="2476500"/>
          <a:ext cx="428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20%</a:t>
          </a:r>
        </a:p>
      </cdr:txBody>
    </cdr:sp>
  </cdr:relSizeAnchor>
  <cdr:relSizeAnchor xmlns:cdr="http://schemas.openxmlformats.org/drawingml/2006/chartDrawing">
    <cdr:from>
      <cdr:x>0.90425</cdr:x>
      <cdr:y>0.7705</cdr:y>
    </cdr:from>
    <cdr:to>
      <cdr:x>0.959</cdr:x>
      <cdr:y>0.82775</cdr:y>
    </cdr:to>
    <cdr:sp>
      <cdr:nvSpPr>
        <cdr:cNvPr id="11" name="TextBox 11"/>
        <cdr:cNvSpPr txBox="1">
          <a:spLocks noChangeArrowheads="1"/>
        </cdr:cNvSpPr>
      </cdr:nvSpPr>
      <cdr:spPr>
        <a:xfrm>
          <a:off x="6296025" y="3076575"/>
          <a:ext cx="381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 0%</a:t>
          </a:r>
        </a:p>
      </cdr:txBody>
    </cdr:sp>
  </cdr:relSizeAnchor>
  <cdr:relSizeAnchor xmlns:cdr="http://schemas.openxmlformats.org/drawingml/2006/chartDrawing">
    <cdr:from>
      <cdr:x>0.67025</cdr:x>
      <cdr:y>0.14625</cdr:y>
    </cdr:from>
    <cdr:to>
      <cdr:x>0.80025</cdr:x>
      <cdr:y>0.201</cdr:y>
    </cdr:to>
    <cdr:sp>
      <cdr:nvSpPr>
        <cdr:cNvPr id="12" name="TextBox 12"/>
        <cdr:cNvSpPr txBox="1">
          <a:spLocks noChangeArrowheads="1"/>
        </cdr:cNvSpPr>
      </cdr:nvSpPr>
      <cdr:spPr>
        <a:xfrm>
          <a:off x="4657725" y="581025"/>
          <a:ext cx="904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Spending ($)</a:t>
          </a:r>
        </a:p>
      </cdr:txBody>
    </cdr:sp>
  </cdr:relSizeAnchor>
  <cdr:relSizeAnchor xmlns:cdr="http://schemas.openxmlformats.org/drawingml/2006/chartDrawing">
    <cdr:from>
      <cdr:x>0.4575</cdr:x>
      <cdr:y>0.09225</cdr:y>
    </cdr:from>
    <cdr:to>
      <cdr:x>0.58325</cdr:x>
      <cdr:y>0.147</cdr:y>
    </cdr:to>
    <cdr:sp>
      <cdr:nvSpPr>
        <cdr:cNvPr id="13" name="TextBox 13"/>
        <cdr:cNvSpPr txBox="1">
          <a:spLocks noChangeArrowheads="1"/>
        </cdr:cNvSpPr>
      </cdr:nvSpPr>
      <cdr:spPr>
        <a:xfrm>
          <a:off x="3181350" y="361950"/>
          <a:ext cx="876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Revenue ($)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</xdr:row>
      <xdr:rowOff>95250</xdr:rowOff>
    </xdr:from>
    <xdr:to>
      <xdr:col>8</xdr:col>
      <xdr:colOff>638175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381000" y="619125"/>
        <a:ext cx="69627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48"/>
  <sheetViews>
    <sheetView workbookViewId="0" topLeftCell="A1">
      <selection activeCell="J8" sqref="J8"/>
    </sheetView>
  </sheetViews>
  <sheetFormatPr defaultColWidth="11.00390625" defaultRowHeight="12.75"/>
  <cols>
    <col min="1" max="1" width="4.875" style="13" customWidth="1"/>
    <col min="2" max="2" width="18.625" style="0" customWidth="1"/>
    <col min="3" max="3" width="9.125" style="0" customWidth="1"/>
    <col min="4" max="4" width="11.125" style="14" customWidth="1"/>
    <col min="5" max="5" width="9.25390625" style="15" customWidth="1"/>
    <col min="6" max="6" width="9.25390625" style="16" customWidth="1"/>
    <col min="7" max="7" width="9.25390625" style="0" customWidth="1"/>
    <col min="8" max="8" width="10.75390625" style="16" customWidth="1"/>
    <col min="9" max="9" width="19.00390625" style="0" customWidth="1"/>
    <col min="10" max="10" width="6.25390625" style="0" customWidth="1"/>
    <col min="11" max="12" width="6.25390625" style="7" customWidth="1"/>
    <col min="13" max="19" width="6.25390625" style="0" customWidth="1"/>
    <col min="20" max="20" width="7.625" style="0" customWidth="1"/>
    <col min="21" max="21" width="6.25390625" style="8" customWidth="1"/>
    <col min="22" max="22" width="6.75390625" style="0" customWidth="1"/>
    <col min="23" max="23" width="6.75390625" style="7" customWidth="1"/>
    <col min="24" max="27" width="6.25390625" style="0" customWidth="1"/>
    <col min="28" max="28" width="13.875" style="0" customWidth="1"/>
    <col min="29" max="31" width="6.875" style="0" customWidth="1"/>
    <col min="32" max="32" width="7.75390625" style="9" customWidth="1"/>
    <col min="33" max="38" width="6.875" style="0" customWidth="1"/>
    <col min="39" max="39" width="6.875" style="10" customWidth="1"/>
    <col min="40" max="41" width="6.875" style="0" customWidth="1"/>
    <col min="42" max="42" width="7.25390625" style="0" customWidth="1"/>
  </cols>
  <sheetData>
    <row r="1" spans="1:9" ht="15.75">
      <c r="A1" s="1" t="s">
        <v>55</v>
      </c>
      <c r="C1" s="2"/>
      <c r="D1" s="3"/>
      <c r="E1" s="4"/>
      <c r="F1" s="5"/>
      <c r="G1" s="2"/>
      <c r="H1" s="5"/>
      <c r="I1" s="6" t="s">
        <v>89</v>
      </c>
    </row>
    <row r="2" spans="1:9" ht="15.75">
      <c r="A2" s="1" t="s">
        <v>156</v>
      </c>
      <c r="C2" s="2"/>
      <c r="D2" s="3"/>
      <c r="E2" s="4"/>
      <c r="F2" s="5"/>
      <c r="G2" s="2"/>
      <c r="H2" s="5"/>
      <c r="I2" s="6" t="s">
        <v>177</v>
      </c>
    </row>
    <row r="3" spans="1:9" ht="13.5">
      <c r="A3" s="11" t="s">
        <v>157</v>
      </c>
      <c r="C3" s="2"/>
      <c r="D3" s="3"/>
      <c r="E3" s="4"/>
      <c r="F3" s="5"/>
      <c r="G3" s="2"/>
      <c r="H3" s="5"/>
      <c r="I3" s="12" t="s">
        <v>148</v>
      </c>
    </row>
    <row r="4" spans="9:42" ht="12.75">
      <c r="I4" s="7"/>
      <c r="J4" s="17" t="s">
        <v>12</v>
      </c>
      <c r="K4" s="18" t="s">
        <v>121</v>
      </c>
      <c r="U4" s="7" t="s">
        <v>80</v>
      </c>
      <c r="AD4" s="19" t="s">
        <v>112</v>
      </c>
      <c r="AE4" s="20" t="s">
        <v>113</v>
      </c>
      <c r="AO4" s="21" t="s">
        <v>114</v>
      </c>
      <c r="AP4" s="22" t="s">
        <v>155</v>
      </c>
    </row>
    <row r="5" spans="1:44" ht="12.75">
      <c r="A5" s="9"/>
      <c r="C5" s="23"/>
      <c r="I5" s="25"/>
      <c r="K5" s="26" t="s">
        <v>122</v>
      </c>
      <c r="L5" s="7" t="s">
        <v>182</v>
      </c>
      <c r="N5" s="9" t="s">
        <v>75</v>
      </c>
      <c r="O5" s="14"/>
      <c r="P5" s="14"/>
      <c r="Q5" s="14"/>
      <c r="R5" s="14"/>
      <c r="S5" s="14"/>
      <c r="T5" s="27" t="s">
        <v>31</v>
      </c>
      <c r="U5" s="28" t="s">
        <v>82</v>
      </c>
      <c r="V5" s="24" t="s">
        <v>15</v>
      </c>
      <c r="W5" s="29" t="s">
        <v>38</v>
      </c>
      <c r="X5" s="13" t="s">
        <v>161</v>
      </c>
      <c r="Y5" s="13" t="s">
        <v>99</v>
      </c>
      <c r="Z5" s="30" t="s">
        <v>203</v>
      </c>
      <c r="AA5" s="30" t="s">
        <v>38</v>
      </c>
      <c r="AB5" s="30" t="s">
        <v>38</v>
      </c>
      <c r="AC5" s="30" t="s">
        <v>188</v>
      </c>
      <c r="AD5" s="30" t="s">
        <v>188</v>
      </c>
      <c r="AE5" s="31" t="s">
        <v>185</v>
      </c>
      <c r="AF5" s="32" t="s">
        <v>30</v>
      </c>
      <c r="AG5" s="30" t="s">
        <v>127</v>
      </c>
      <c r="AH5" s="30" t="s">
        <v>117</v>
      </c>
      <c r="AI5" s="33" t="s">
        <v>5</v>
      </c>
      <c r="AM5" s="34" t="s">
        <v>88</v>
      </c>
      <c r="AN5" s="9"/>
      <c r="AO5" s="35"/>
      <c r="AP5" t="s">
        <v>184</v>
      </c>
      <c r="AR5" s="9" t="s">
        <v>9</v>
      </c>
    </row>
    <row r="6" spans="9:44" ht="12.75">
      <c r="I6" s="25"/>
      <c r="J6" s="36" t="s">
        <v>193</v>
      </c>
      <c r="K6" s="37"/>
      <c r="L6" s="22" t="s">
        <v>117</v>
      </c>
      <c r="M6" s="23" t="s">
        <v>160</v>
      </c>
      <c r="N6" s="23" t="s">
        <v>74</v>
      </c>
      <c r="O6" s="23" t="s">
        <v>109</v>
      </c>
      <c r="P6" s="23" t="s">
        <v>110</v>
      </c>
      <c r="Q6" s="23" t="s">
        <v>106</v>
      </c>
      <c r="R6" s="13" t="s">
        <v>6</v>
      </c>
      <c r="S6" s="23" t="s">
        <v>111</v>
      </c>
      <c r="T6" s="27" t="s">
        <v>32</v>
      </c>
      <c r="U6" s="38" t="s">
        <v>40</v>
      </c>
      <c r="V6" s="39" t="s">
        <v>211</v>
      </c>
      <c r="X6" s="14"/>
      <c r="Y6" s="23" t="s">
        <v>202</v>
      </c>
      <c r="Z6" s="23" t="s">
        <v>202</v>
      </c>
      <c r="AA6" s="23" t="s">
        <v>202</v>
      </c>
      <c r="AB6" s="23" t="s">
        <v>100</v>
      </c>
      <c r="AC6" s="23" t="s">
        <v>213</v>
      </c>
      <c r="AD6" s="23" t="s">
        <v>213</v>
      </c>
      <c r="AE6" s="40" t="s">
        <v>186</v>
      </c>
      <c r="AG6" s="23"/>
      <c r="AH6" s="9" t="s">
        <v>122</v>
      </c>
      <c r="AI6" s="13" t="s">
        <v>117</v>
      </c>
      <c r="AJ6" s="30" t="s">
        <v>109</v>
      </c>
      <c r="AK6" s="13" t="s">
        <v>101</v>
      </c>
      <c r="AL6" s="13" t="s">
        <v>164</v>
      </c>
      <c r="AM6" s="41" t="s">
        <v>111</v>
      </c>
      <c r="AN6" s="13" t="s">
        <v>15</v>
      </c>
      <c r="AO6" s="35" t="s">
        <v>15</v>
      </c>
      <c r="AP6" t="s">
        <v>123</v>
      </c>
      <c r="AR6" s="9" t="s">
        <v>8</v>
      </c>
    </row>
    <row r="7" spans="4:42" ht="12.75">
      <c r="D7" s="24" t="s">
        <v>174</v>
      </c>
      <c r="F7" s="16" t="s">
        <v>104</v>
      </c>
      <c r="I7" s="25" t="s">
        <v>215</v>
      </c>
      <c r="J7" s="42">
        <v>0.025</v>
      </c>
      <c r="K7" s="43">
        <f>$J$7</f>
        <v>0.025</v>
      </c>
      <c r="L7" s="44"/>
      <c r="M7" s="45" t="s">
        <v>84</v>
      </c>
      <c r="N7" s="45" t="s">
        <v>84</v>
      </c>
      <c r="O7" s="46">
        <f>$J$7</f>
        <v>0.025</v>
      </c>
      <c r="P7" s="46">
        <f>$J$7</f>
        <v>0.025</v>
      </c>
      <c r="Q7" s="42"/>
      <c r="R7" s="47" t="s">
        <v>7</v>
      </c>
      <c r="S7" s="46">
        <f>$J$7</f>
        <v>0.025</v>
      </c>
      <c r="T7" s="46">
        <f>$J$7</f>
        <v>0.025</v>
      </c>
      <c r="U7" s="46">
        <f>$J$7</f>
        <v>0.025</v>
      </c>
      <c r="V7" s="44"/>
      <c r="W7" s="44"/>
      <c r="X7" s="46">
        <f>$J$7</f>
        <v>0.025</v>
      </c>
      <c r="Y7" s="48"/>
      <c r="Z7" s="42"/>
      <c r="AA7" s="42"/>
      <c r="AB7" s="42"/>
      <c r="AC7" s="49" t="s">
        <v>139</v>
      </c>
      <c r="AD7" s="50" t="s">
        <v>138</v>
      </c>
      <c r="AE7" s="51" t="s">
        <v>187</v>
      </c>
      <c r="AF7" s="32"/>
      <c r="AG7" s="46">
        <f>$J$7</f>
        <v>0.025</v>
      </c>
      <c r="AH7" s="42"/>
      <c r="AI7" s="44"/>
      <c r="AJ7" s="46">
        <f>$J$7</f>
        <v>0.025</v>
      </c>
      <c r="AK7" s="46">
        <f>$J$7</f>
        <v>0.025</v>
      </c>
      <c r="AL7" s="44"/>
      <c r="AM7" s="46">
        <f>$J$7</f>
        <v>0.025</v>
      </c>
      <c r="AO7" s="35" t="s">
        <v>129</v>
      </c>
      <c r="AP7" t="s">
        <v>213</v>
      </c>
    </row>
    <row r="8" spans="9:41" ht="12.75">
      <c r="I8" s="25" t="s">
        <v>59</v>
      </c>
      <c r="K8" s="52">
        <v>0.03</v>
      </c>
      <c r="L8" s="44"/>
      <c r="M8" s="44"/>
      <c r="N8" s="53"/>
      <c r="O8" s="42">
        <v>0.02</v>
      </c>
      <c r="P8" s="42">
        <v>0.005</v>
      </c>
      <c r="Q8" s="42"/>
      <c r="R8" s="42"/>
      <c r="S8" s="42">
        <v>0.015</v>
      </c>
      <c r="T8" s="54">
        <v>0.02</v>
      </c>
      <c r="U8" s="54">
        <v>0</v>
      </c>
      <c r="V8" s="42"/>
      <c r="W8" s="44"/>
      <c r="X8" s="42">
        <v>0.03</v>
      </c>
      <c r="Y8" s="48"/>
      <c r="Z8" s="42"/>
      <c r="AA8" s="42"/>
      <c r="AB8" s="42"/>
      <c r="AC8" s="42"/>
      <c r="AD8" s="55"/>
      <c r="AE8" s="51" t="s">
        <v>17</v>
      </c>
      <c r="AF8" s="32"/>
      <c r="AG8" s="55">
        <v>0.005</v>
      </c>
      <c r="AH8" s="42"/>
      <c r="AI8" s="44"/>
      <c r="AJ8" s="42">
        <v>0.02</v>
      </c>
      <c r="AK8" s="42">
        <v>0.015</v>
      </c>
      <c r="AL8" s="42"/>
      <c r="AM8" s="54">
        <v>0.015</v>
      </c>
      <c r="AO8" s="35" t="s">
        <v>128</v>
      </c>
    </row>
    <row r="9" spans="1:41" ht="12.75">
      <c r="A9" s="13" t="s">
        <v>37</v>
      </c>
      <c r="B9" s="7" t="s">
        <v>197</v>
      </c>
      <c r="I9" s="56" t="s">
        <v>107</v>
      </c>
      <c r="K9" s="52"/>
      <c r="L9" s="44"/>
      <c r="M9" s="44"/>
      <c r="N9" s="53"/>
      <c r="O9" s="57">
        <v>-0.3</v>
      </c>
      <c r="P9" s="57">
        <v>-0.3</v>
      </c>
      <c r="Q9" s="58"/>
      <c r="R9" s="58"/>
      <c r="S9" s="42"/>
      <c r="T9" s="45" t="s">
        <v>219</v>
      </c>
      <c r="U9" s="45" t="s">
        <v>220</v>
      </c>
      <c r="V9" s="42"/>
      <c r="W9" s="44"/>
      <c r="X9" s="42"/>
      <c r="Y9" s="48"/>
      <c r="Z9" s="42"/>
      <c r="AA9" s="42"/>
      <c r="AB9" s="42"/>
      <c r="AC9" s="42"/>
      <c r="AD9" s="59">
        <v>0.0006</v>
      </c>
      <c r="AE9" s="60" t="s">
        <v>83</v>
      </c>
      <c r="AF9" s="32"/>
      <c r="AG9" s="55"/>
      <c r="AH9" s="42"/>
      <c r="AI9" s="44"/>
      <c r="AJ9" s="57">
        <v>-0.3</v>
      </c>
      <c r="AK9" s="57">
        <v>0.2</v>
      </c>
      <c r="AL9" s="42"/>
      <c r="AM9" s="61"/>
      <c r="AO9" s="62"/>
    </row>
    <row r="10" spans="2:41" ht="12.75">
      <c r="B10" s="25" t="s">
        <v>214</v>
      </c>
      <c r="C10" s="25"/>
      <c r="I10" s="56" t="s">
        <v>60</v>
      </c>
      <c r="K10" s="63"/>
      <c r="N10" s="64"/>
      <c r="O10" s="65">
        <f>(1+O9)^(1/5)-1</f>
        <v>-0.06885008490516231</v>
      </c>
      <c r="P10" s="65">
        <f>(1+P9)^(1/5)-1</f>
        <v>-0.06885008490516231</v>
      </c>
      <c r="Q10" s="66"/>
      <c r="R10" s="66"/>
      <c r="S10" s="14"/>
      <c r="T10" s="67" t="s">
        <v>39</v>
      </c>
      <c r="U10" s="68"/>
      <c r="V10" s="14"/>
      <c r="X10" s="14"/>
      <c r="Y10" s="23"/>
      <c r="Z10" s="14"/>
      <c r="AA10" s="14"/>
      <c r="AB10" s="14"/>
      <c r="AC10" s="14"/>
      <c r="AD10" s="69">
        <v>-0.00025</v>
      </c>
      <c r="AE10" s="60"/>
      <c r="AF10" s="32"/>
      <c r="AG10" s="70"/>
      <c r="AH10" s="14"/>
      <c r="AJ10" s="65">
        <f>(1+AJ9)^(1/5)-1</f>
        <v>-0.06885008490516231</v>
      </c>
      <c r="AK10" s="65">
        <f>(1+AK9)^(1/5)-1</f>
        <v>0.03713728933664817</v>
      </c>
      <c r="AL10" s="14"/>
      <c r="AM10" s="15"/>
      <c r="AO10" s="62"/>
    </row>
    <row r="11" spans="2:41" ht="12.75">
      <c r="B11" t="s">
        <v>163</v>
      </c>
      <c r="C11" s="10">
        <v>5707</v>
      </c>
      <c r="I11" s="25" t="s">
        <v>183</v>
      </c>
      <c r="K11" s="18"/>
      <c r="N11" s="64"/>
      <c r="T11" s="71" t="s">
        <v>96</v>
      </c>
      <c r="U11" s="68"/>
      <c r="AE11" s="72">
        <v>0.007</v>
      </c>
      <c r="AJ11" s="45" t="s">
        <v>84</v>
      </c>
      <c r="AK11" s="13" t="s">
        <v>221</v>
      </c>
      <c r="AO11" s="62"/>
    </row>
    <row r="12" spans="1:44" ht="12.75">
      <c r="A12" s="13">
        <v>5</v>
      </c>
      <c r="B12" t="s">
        <v>116</v>
      </c>
      <c r="C12" s="10">
        <f>C11*0.1</f>
        <v>570.7</v>
      </c>
      <c r="I12" s="73" t="s">
        <v>1</v>
      </c>
      <c r="J12" s="73">
        <v>2007</v>
      </c>
      <c r="K12" s="74">
        <v>2568</v>
      </c>
      <c r="L12" s="75">
        <v>2729</v>
      </c>
      <c r="M12" s="73">
        <v>586</v>
      </c>
      <c r="N12" s="76"/>
      <c r="O12" s="77">
        <v>641</v>
      </c>
      <c r="P12" s="73">
        <v>653</v>
      </c>
      <c r="Q12" s="73">
        <v>237</v>
      </c>
      <c r="R12" s="78">
        <f aca="true" t="shared" si="0" ref="R12:R18">Q12/W12</f>
        <v>0.046939988116458706</v>
      </c>
      <c r="S12" s="79">
        <f>L12-M12-O12-P12-Q12</f>
        <v>612</v>
      </c>
      <c r="T12" s="71" t="s">
        <v>97</v>
      </c>
      <c r="U12" s="68"/>
      <c r="V12" s="80">
        <f>K12-L12</f>
        <v>-161</v>
      </c>
      <c r="W12" s="81">
        <v>5049</v>
      </c>
      <c r="X12" s="73">
        <v>14029</v>
      </c>
      <c r="Y12" s="78">
        <f aca="true" t="shared" si="1" ref="Y12:Y55">K12/X12</f>
        <v>0.18304939767624206</v>
      </c>
      <c r="Z12" s="78">
        <f aca="true" t="shared" si="2" ref="Z12:Z55">L12/X12</f>
        <v>0.1945256254900563</v>
      </c>
      <c r="AA12" s="82">
        <f>W12/X12</f>
        <v>0.35989735547793855</v>
      </c>
      <c r="AB12" s="82">
        <f>W12/X12*10000</f>
        <v>3598.9735547793857</v>
      </c>
      <c r="AC12" s="78">
        <f>(M12+N12)/X12</f>
        <v>0.04177061800555991</v>
      </c>
      <c r="AD12" s="83">
        <f aca="true" t="shared" si="3" ref="AD12:AD18">(M12+N12)/X12</f>
        <v>0.04177061800555991</v>
      </c>
      <c r="AE12" s="63">
        <v>0.004</v>
      </c>
      <c r="AF12" s="84"/>
      <c r="AG12" s="85"/>
      <c r="AH12" s="73">
        <f>1568+1035</f>
        <v>2603</v>
      </c>
      <c r="AI12" s="79">
        <f>1174+1485-465</f>
        <v>2194</v>
      </c>
      <c r="AJ12" s="73">
        <f>365+114-259</f>
        <v>220</v>
      </c>
      <c r="AK12" s="73">
        <f>214+571-80</f>
        <v>705</v>
      </c>
      <c r="AL12" s="73">
        <v>93</v>
      </c>
      <c r="AM12" s="79">
        <f>AI12-AJ12-AK12-AL12</f>
        <v>1176</v>
      </c>
      <c r="AN12" s="79">
        <f>AH12-AI12</f>
        <v>409</v>
      </c>
      <c r="AO12" s="86"/>
      <c r="AP12" s="87">
        <f aca="true" t="shared" si="4" ref="AP12:AP55">(L12+AI12)/X12</f>
        <v>0.3509159597975622</v>
      </c>
      <c r="AQ12" s="88"/>
      <c r="AR12" s="88"/>
    </row>
    <row r="13" spans="2:44" ht="12.75">
      <c r="B13" t="s">
        <v>164</v>
      </c>
      <c r="C13" s="10">
        <v>226</v>
      </c>
      <c r="I13" s="89" t="s">
        <v>229</v>
      </c>
      <c r="J13" s="73">
        <f aca="true" t="shared" si="5" ref="J13:J55">J12+1</f>
        <v>2008</v>
      </c>
      <c r="K13" s="74">
        <v>2525</v>
      </c>
      <c r="L13" s="75">
        <v>2983</v>
      </c>
      <c r="M13" s="73">
        <v>617</v>
      </c>
      <c r="N13" s="76"/>
      <c r="O13" s="77">
        <v>671</v>
      </c>
      <c r="P13" s="73">
        <v>730</v>
      </c>
      <c r="Q13" s="73">
        <v>252</v>
      </c>
      <c r="R13" s="78">
        <f t="shared" si="0"/>
        <v>0.04338842975206612</v>
      </c>
      <c r="S13" s="79">
        <f aca="true" t="shared" si="6" ref="S13:S18">L13-M13-O13-P13-Q13</f>
        <v>713</v>
      </c>
      <c r="T13" s="71" t="s">
        <v>98</v>
      </c>
      <c r="U13" s="68"/>
      <c r="V13" s="80">
        <f aca="true" t="shared" si="7" ref="V13:V55">K13-L13</f>
        <v>-458</v>
      </c>
      <c r="W13" s="81">
        <v>5808</v>
      </c>
      <c r="X13" s="73">
        <v>14369</v>
      </c>
      <c r="Y13" s="78">
        <f t="shared" si="1"/>
        <v>0.1757255202171341</v>
      </c>
      <c r="Z13" s="78">
        <f t="shared" si="2"/>
        <v>0.2075996937852321</v>
      </c>
      <c r="AA13" s="82">
        <f aca="true" t="shared" si="8" ref="AA13:AA55">W13/X13</f>
        <v>0.4042034936321247</v>
      </c>
      <c r="AB13" s="82">
        <f aca="true" t="shared" si="9" ref="AB13:AB55">W13/X13*10000</f>
        <v>4042.034936321247</v>
      </c>
      <c r="AC13" s="78">
        <f aca="true" t="shared" si="10" ref="AC13:AC55">(M13+N13)/X13</f>
        <v>0.042939661771869995</v>
      </c>
      <c r="AD13" s="83">
        <f t="shared" si="3"/>
        <v>0.042939661771869995</v>
      </c>
      <c r="AE13" s="60"/>
      <c r="AF13" s="84"/>
      <c r="AG13" s="90"/>
      <c r="AH13" s="73">
        <f>1171+1005</f>
        <v>2176</v>
      </c>
      <c r="AI13" s="79">
        <f>1255+1577-478</f>
        <v>2354</v>
      </c>
      <c r="AJ13" s="73">
        <f>388+120-270</f>
        <v>238</v>
      </c>
      <c r="AK13" s="73">
        <f>232+605-81</f>
        <v>756</v>
      </c>
      <c r="AL13" s="73">
        <v>100</v>
      </c>
      <c r="AM13" s="79">
        <f aca="true" t="shared" si="11" ref="AM13:AM18">AI13-AJ13-AK13-AL13</f>
        <v>1260</v>
      </c>
      <c r="AN13" s="79">
        <f aca="true" t="shared" si="12" ref="AN13:AN55">AH13-AI13</f>
        <v>-178</v>
      </c>
      <c r="AO13" s="91"/>
      <c r="AP13" s="87">
        <f t="shared" si="4"/>
        <v>0.3714245946134039</v>
      </c>
      <c r="AQ13" s="88"/>
      <c r="AR13" s="88"/>
    </row>
    <row r="14" spans="1:44" ht="12.75">
      <c r="A14" s="13">
        <v>2</v>
      </c>
      <c r="B14" t="s">
        <v>165</v>
      </c>
      <c r="C14" s="10">
        <f>0.7*1300+40</f>
        <v>949.9999999999999</v>
      </c>
      <c r="I14" s="89" t="s">
        <v>230</v>
      </c>
      <c r="J14" s="73">
        <f t="shared" si="5"/>
        <v>2009</v>
      </c>
      <c r="K14" s="74">
        <v>2105</v>
      </c>
      <c r="L14" s="75">
        <v>3518</v>
      </c>
      <c r="M14" s="73">
        <v>683</v>
      </c>
      <c r="N14" s="76"/>
      <c r="O14" s="77">
        <v>764</v>
      </c>
      <c r="P14" s="73">
        <v>794</v>
      </c>
      <c r="Q14" s="73">
        <v>187</v>
      </c>
      <c r="R14" s="78">
        <f t="shared" si="0"/>
        <v>0.02589669020911231</v>
      </c>
      <c r="S14" s="79">
        <f t="shared" si="6"/>
        <v>1090</v>
      </c>
      <c r="T14" s="71" t="s">
        <v>133</v>
      </c>
      <c r="U14" s="68"/>
      <c r="V14" s="80">
        <f t="shared" si="7"/>
        <v>-1413</v>
      </c>
      <c r="W14" s="81">
        <f>W13-V14</f>
        <v>7221</v>
      </c>
      <c r="X14" s="73">
        <v>13939</v>
      </c>
      <c r="Y14" s="78">
        <f t="shared" si="1"/>
        <v>0.15101513738431738</v>
      </c>
      <c r="Z14" s="78">
        <f t="shared" si="2"/>
        <v>0.2523853935002511</v>
      </c>
      <c r="AA14" s="82">
        <f t="shared" si="8"/>
        <v>0.5180429012124256</v>
      </c>
      <c r="AB14" s="82">
        <f t="shared" si="9"/>
        <v>5180.429012124256</v>
      </c>
      <c r="AC14" s="78">
        <f t="shared" si="10"/>
        <v>0.048999210847263074</v>
      </c>
      <c r="AD14" s="83">
        <f t="shared" si="3"/>
        <v>0.048999210847263074</v>
      </c>
      <c r="AE14" s="60"/>
      <c r="AF14" s="84"/>
      <c r="AG14" s="85"/>
      <c r="AH14" s="73">
        <f>628+902</f>
        <v>1530</v>
      </c>
      <c r="AI14" s="79">
        <f>1336+1626-537</f>
        <v>2425</v>
      </c>
      <c r="AJ14" s="73">
        <f>412+126-312</f>
        <v>226</v>
      </c>
      <c r="AK14" s="73">
        <f>243+619-90</f>
        <v>772</v>
      </c>
      <c r="AL14" s="73">
        <v>85</v>
      </c>
      <c r="AM14" s="79">
        <f t="shared" si="11"/>
        <v>1342</v>
      </c>
      <c r="AN14" s="79">
        <f t="shared" si="12"/>
        <v>-895</v>
      </c>
      <c r="AO14" s="91"/>
      <c r="AP14" s="87">
        <f t="shared" si="4"/>
        <v>0.4263577014133008</v>
      </c>
      <c r="AQ14" s="88"/>
      <c r="AR14" s="88"/>
    </row>
    <row r="15" spans="1:44" ht="12.75">
      <c r="A15" s="13">
        <v>3</v>
      </c>
      <c r="B15" t="s">
        <v>166</v>
      </c>
      <c r="C15" s="10">
        <f>309*0.9</f>
        <v>278.1</v>
      </c>
      <c r="I15" s="92"/>
      <c r="J15" s="73">
        <f t="shared" si="5"/>
        <v>2010</v>
      </c>
      <c r="K15" s="74">
        <v>2163</v>
      </c>
      <c r="L15" s="75">
        <v>3456</v>
      </c>
      <c r="M15" s="73">
        <v>707</v>
      </c>
      <c r="N15" s="76"/>
      <c r="O15" s="77">
        <v>821</v>
      </c>
      <c r="P15" s="73">
        <v>847</v>
      </c>
      <c r="Q15" s="73">
        <v>196</v>
      </c>
      <c r="R15" s="78">
        <f t="shared" si="0"/>
        <v>0.023020906741836974</v>
      </c>
      <c r="S15" s="79">
        <f t="shared" si="6"/>
        <v>885</v>
      </c>
      <c r="T15" s="93">
        <v>150</v>
      </c>
      <c r="U15" s="68" t="s">
        <v>21</v>
      </c>
      <c r="V15" s="80">
        <f t="shared" si="7"/>
        <v>-1293</v>
      </c>
      <c r="W15" s="81">
        <f aca="true" t="shared" si="13" ref="W15:W55">W14-V15</f>
        <v>8514</v>
      </c>
      <c r="X15" s="73">
        <v>14527</v>
      </c>
      <c r="Y15" s="78">
        <f t="shared" si="1"/>
        <v>0.14889516073518277</v>
      </c>
      <c r="Z15" s="78">
        <f t="shared" si="2"/>
        <v>0.23790183795690784</v>
      </c>
      <c r="AA15" s="82">
        <f t="shared" si="8"/>
        <v>0.5860810903834239</v>
      </c>
      <c r="AB15" s="82">
        <f t="shared" si="9"/>
        <v>5860.810903834239</v>
      </c>
      <c r="AC15" s="78">
        <f t="shared" si="10"/>
        <v>0.048667997521855855</v>
      </c>
      <c r="AD15" s="83">
        <f t="shared" si="3"/>
        <v>0.048667997521855855</v>
      </c>
      <c r="AE15" s="60"/>
      <c r="AF15" s="84"/>
      <c r="AG15" s="85"/>
      <c r="AH15" s="73">
        <f>1460+1102</f>
        <v>2562</v>
      </c>
      <c r="AI15" s="79">
        <f>1457+1629-622</f>
        <v>2464</v>
      </c>
      <c r="AJ15" s="73">
        <f>432+126-349</f>
        <v>209</v>
      </c>
      <c r="AK15" s="73">
        <f>255+619-113</f>
        <v>761</v>
      </c>
      <c r="AL15" s="73">
        <v>104</v>
      </c>
      <c r="AM15" s="79">
        <f t="shared" si="11"/>
        <v>1390</v>
      </c>
      <c r="AN15" s="79">
        <f t="shared" si="12"/>
        <v>98</v>
      </c>
      <c r="AO15" s="91"/>
      <c r="AP15" s="87">
        <f t="shared" si="4"/>
        <v>0.4075170372409995</v>
      </c>
      <c r="AQ15" s="88"/>
      <c r="AR15" s="88"/>
    </row>
    <row r="16" spans="1:44" ht="12.75">
      <c r="A16" s="13">
        <v>4</v>
      </c>
      <c r="B16" t="s">
        <v>167</v>
      </c>
      <c r="C16" s="10">
        <f>498*0.8</f>
        <v>398.40000000000003</v>
      </c>
      <c r="I16" s="92"/>
      <c r="J16" s="73">
        <f t="shared" si="5"/>
        <v>2011</v>
      </c>
      <c r="K16" s="74">
        <v>2304</v>
      </c>
      <c r="L16" s="75">
        <v>3603</v>
      </c>
      <c r="M16" s="73">
        <v>731</v>
      </c>
      <c r="N16" s="76"/>
      <c r="O16" s="77">
        <v>858</v>
      </c>
      <c r="P16" s="73">
        <v>878</v>
      </c>
      <c r="Q16" s="73">
        <v>230</v>
      </c>
      <c r="R16" s="78">
        <f t="shared" si="0"/>
        <v>0.02343829613777642</v>
      </c>
      <c r="S16" s="79">
        <f t="shared" si="6"/>
        <v>906</v>
      </c>
      <c r="T16" s="94" t="s">
        <v>132</v>
      </c>
      <c r="U16" s="68"/>
      <c r="V16" s="80">
        <f t="shared" si="7"/>
        <v>-1299</v>
      </c>
      <c r="W16" s="81">
        <f t="shared" si="13"/>
        <v>9813</v>
      </c>
      <c r="X16" s="73">
        <v>15094</v>
      </c>
      <c r="Y16" s="78">
        <f t="shared" si="1"/>
        <v>0.15264343447727574</v>
      </c>
      <c r="Z16" s="78">
        <f t="shared" si="2"/>
        <v>0.23870412084271897</v>
      </c>
      <c r="AA16" s="82">
        <f t="shared" si="8"/>
        <v>0.6501258778322512</v>
      </c>
      <c r="AB16" s="82">
        <f t="shared" si="9"/>
        <v>6501.258778322512</v>
      </c>
      <c r="AC16" s="78">
        <f t="shared" si="10"/>
        <v>0.048429839671392604</v>
      </c>
      <c r="AD16" s="83">
        <f t="shared" si="3"/>
        <v>0.048429839671392604</v>
      </c>
      <c r="AE16" s="60"/>
      <c r="AF16" s="95"/>
      <c r="AG16" s="96"/>
      <c r="AH16" s="73">
        <f>1451+1098</f>
        <v>2549</v>
      </c>
      <c r="AI16" s="79">
        <f>1435+1629-616</f>
        <v>2448</v>
      </c>
      <c r="AJ16" s="73">
        <f>430+126-341</f>
        <v>215</v>
      </c>
      <c r="AK16" s="73">
        <f>251+624-113</f>
        <v>762</v>
      </c>
      <c r="AL16" s="73">
        <v>104</v>
      </c>
      <c r="AM16" s="79">
        <f t="shared" si="11"/>
        <v>1367</v>
      </c>
      <c r="AN16" s="79">
        <f t="shared" si="12"/>
        <v>101</v>
      </c>
      <c r="AO16" s="91"/>
      <c r="AP16" s="87">
        <f t="shared" si="4"/>
        <v>0.40088776997482445</v>
      </c>
      <c r="AQ16" s="88"/>
      <c r="AR16" s="88"/>
    </row>
    <row r="17" spans="2:44" ht="12.75">
      <c r="B17" t="s">
        <v>4</v>
      </c>
      <c r="C17" s="10">
        <v>78</v>
      </c>
      <c r="I17" s="92"/>
      <c r="J17" s="73">
        <f t="shared" si="5"/>
        <v>2012</v>
      </c>
      <c r="K17" s="97">
        <v>2469</v>
      </c>
      <c r="L17" s="75">
        <v>3796</v>
      </c>
      <c r="M17" s="73">
        <v>778</v>
      </c>
      <c r="N17" s="76"/>
      <c r="O17" s="73">
        <v>846</v>
      </c>
      <c r="P17" s="73">
        <v>902</v>
      </c>
      <c r="Q17" s="73">
        <v>225</v>
      </c>
      <c r="R17" s="78">
        <f t="shared" si="0"/>
        <v>0.020197486535008975</v>
      </c>
      <c r="S17" s="79">
        <f t="shared" si="6"/>
        <v>1045</v>
      </c>
      <c r="T17" s="71" t="s">
        <v>81</v>
      </c>
      <c r="U17" s="98"/>
      <c r="V17" s="80">
        <f t="shared" si="7"/>
        <v>-1327</v>
      </c>
      <c r="W17" s="81">
        <f t="shared" si="13"/>
        <v>11140</v>
      </c>
      <c r="X17" s="73">
        <v>15602</v>
      </c>
      <c r="Y17" s="78">
        <f t="shared" si="1"/>
        <v>0.1582489424432765</v>
      </c>
      <c r="Z17" s="78">
        <f t="shared" si="2"/>
        <v>0.24330214075118575</v>
      </c>
      <c r="AA17" s="82">
        <f t="shared" si="8"/>
        <v>0.7140110242276632</v>
      </c>
      <c r="AB17" s="82">
        <f t="shared" si="9"/>
        <v>7140.110242276632</v>
      </c>
      <c r="AC17" s="78">
        <f t="shared" si="10"/>
        <v>0.04986540187155493</v>
      </c>
      <c r="AD17" s="99">
        <f t="shared" si="3"/>
        <v>0.04986540187155493</v>
      </c>
      <c r="AE17" s="60"/>
      <c r="AF17" s="100"/>
      <c r="AG17" s="82"/>
      <c r="AH17" s="73">
        <f>1504+1115</f>
        <v>2619</v>
      </c>
      <c r="AI17" s="79">
        <f>1399+1668-580</f>
        <v>2487</v>
      </c>
      <c r="AJ17" s="73">
        <f>429+128-332</f>
        <v>225</v>
      </c>
      <c r="AK17" s="73">
        <f>247+644-103</f>
        <v>788</v>
      </c>
      <c r="AL17" s="73">
        <v>106</v>
      </c>
      <c r="AM17" s="79">
        <f t="shared" si="11"/>
        <v>1368</v>
      </c>
      <c r="AN17" s="79">
        <f t="shared" si="12"/>
        <v>132</v>
      </c>
      <c r="AO17" s="91"/>
      <c r="AP17" s="82">
        <f t="shared" si="4"/>
        <v>0.40270478143827715</v>
      </c>
      <c r="AQ17" s="88"/>
      <c r="AR17" s="88"/>
    </row>
    <row r="18" spans="2:44" ht="12.75">
      <c r="B18" t="s">
        <v>168</v>
      </c>
      <c r="C18" s="10">
        <v>84</v>
      </c>
      <c r="I18" s="101" t="s">
        <v>216</v>
      </c>
      <c r="J18" s="102">
        <f t="shared" si="5"/>
        <v>2013</v>
      </c>
      <c r="K18" s="103">
        <v>2902</v>
      </c>
      <c r="L18" s="104">
        <v>3803</v>
      </c>
      <c r="M18" s="102">
        <v>826</v>
      </c>
      <c r="N18" s="105"/>
      <c r="O18" s="102">
        <v>916</v>
      </c>
      <c r="P18" s="102">
        <v>901</v>
      </c>
      <c r="Q18" s="102">
        <v>230</v>
      </c>
      <c r="R18" s="106">
        <f t="shared" si="0"/>
        <v>0.019101403537912134</v>
      </c>
      <c r="S18" s="107">
        <f t="shared" si="6"/>
        <v>930</v>
      </c>
      <c r="T18" s="108"/>
      <c r="U18" s="109"/>
      <c r="V18" s="110">
        <f t="shared" si="7"/>
        <v>-901</v>
      </c>
      <c r="W18" s="104">
        <f t="shared" si="13"/>
        <v>12041</v>
      </c>
      <c r="X18" s="102">
        <v>16335</v>
      </c>
      <c r="Y18" s="106">
        <f t="shared" si="1"/>
        <v>0.17765534129170493</v>
      </c>
      <c r="Z18" s="106">
        <f t="shared" si="2"/>
        <v>0.23281297826752373</v>
      </c>
      <c r="AA18" s="111">
        <f t="shared" si="8"/>
        <v>0.7371288644015916</v>
      </c>
      <c r="AB18" s="112">
        <f t="shared" si="9"/>
        <v>7371.288644015916</v>
      </c>
      <c r="AC18" s="106">
        <f t="shared" si="10"/>
        <v>0.05056626874808693</v>
      </c>
      <c r="AD18" s="113">
        <f t="shared" si="3"/>
        <v>0.05056626874808693</v>
      </c>
      <c r="AE18" s="114"/>
      <c r="AF18" s="115"/>
      <c r="AG18" s="116"/>
      <c r="AH18" s="107">
        <f>AH17*1.035</f>
        <v>2710.665</v>
      </c>
      <c r="AI18" s="107">
        <f>AI17*1.045</f>
        <v>2598.915</v>
      </c>
      <c r="AJ18" s="107">
        <f>AJ17*1.06</f>
        <v>238.5</v>
      </c>
      <c r="AK18" s="107">
        <f>AK17*1.03</f>
        <v>811.64</v>
      </c>
      <c r="AL18" s="102">
        <v>101</v>
      </c>
      <c r="AM18" s="107">
        <f t="shared" si="11"/>
        <v>1447.775</v>
      </c>
      <c r="AN18" s="107">
        <f t="shared" si="12"/>
        <v>111.75</v>
      </c>
      <c r="AO18" s="117"/>
      <c r="AP18" s="112">
        <f t="shared" si="4"/>
        <v>0.3919139883685338</v>
      </c>
      <c r="AQ18" s="88"/>
      <c r="AR18" s="88"/>
    </row>
    <row r="19" spans="2:44" ht="12.75">
      <c r="B19" t="s">
        <v>118</v>
      </c>
      <c r="C19" s="10">
        <v>823</v>
      </c>
      <c r="I19" t="s">
        <v>137</v>
      </c>
      <c r="J19">
        <f t="shared" si="5"/>
        <v>2014</v>
      </c>
      <c r="K19" s="118">
        <f>F53</f>
        <v>3433.359188760126</v>
      </c>
      <c r="L19" s="119">
        <f aca="true" t="shared" si="14" ref="L19:L55">SUM(M19:U19)</f>
        <v>4042.0014399918273</v>
      </c>
      <c r="M19" s="10">
        <f>X19*AD19</f>
        <v>892.112</v>
      </c>
      <c r="N19" s="64">
        <f>N74</f>
        <v>-2.0221205333333336</v>
      </c>
      <c r="O19" s="120">
        <v>916</v>
      </c>
      <c r="P19" s="92">
        <f>P18-120</f>
        <v>781</v>
      </c>
      <c r="Q19" s="121">
        <f aca="true" t="shared" si="15" ref="Q19:Q55">IF(AR19&gt;0,R19*AR19,0)</f>
        <v>227.6935605251616</v>
      </c>
      <c r="R19" s="122">
        <v>0.018</v>
      </c>
      <c r="S19" s="10">
        <f>S18*(1+S$7+S$8)</f>
        <v>967.1999999999998</v>
      </c>
      <c r="T19" s="10">
        <f>230+T15</f>
        <v>380</v>
      </c>
      <c r="U19" s="123">
        <v>-120</v>
      </c>
      <c r="V19" s="124">
        <f t="shared" si="7"/>
        <v>-608.6422512317013</v>
      </c>
      <c r="W19" s="125">
        <f t="shared" si="13"/>
        <v>12649.6422512317</v>
      </c>
      <c r="X19">
        <v>17156</v>
      </c>
      <c r="Y19" s="16">
        <f t="shared" si="1"/>
        <v>0.20012585618792994</v>
      </c>
      <c r="Z19" s="16">
        <f t="shared" si="2"/>
        <v>0.2356027885283182</v>
      </c>
      <c r="AA19" s="126">
        <f t="shared" si="8"/>
        <v>0.737330511263214</v>
      </c>
      <c r="AB19" s="15">
        <f t="shared" si="9"/>
        <v>7373.305112632141</v>
      </c>
      <c r="AC19" s="127">
        <f t="shared" si="10"/>
        <v>0.05188213333333333</v>
      </c>
      <c r="AD19" s="16">
        <v>0.052</v>
      </c>
      <c r="AE19" s="128">
        <f>(AI19*1.01-AG19)/(K19-F47-((115*(1+K$7+K$8)^(J19-2014))))</f>
        <v>0.49525638408050915</v>
      </c>
      <c r="AF19" s="129">
        <f>(K19-168-((115*(1+K$7+K$8)^(J19-2014))))*AE19</f>
        <v>1560.2355003801463</v>
      </c>
      <c r="AG19" s="8">
        <f>G51</f>
        <v>1155</v>
      </c>
      <c r="AH19" s="8">
        <f>AF19+AG19</f>
        <v>2715.2355003801463</v>
      </c>
      <c r="AI19" s="10">
        <f>AJ19+AK19+AL19+AM19</f>
        <v>2685.7151999999996</v>
      </c>
      <c r="AJ19" s="10">
        <f>AJ18*1.04</f>
        <v>248.04000000000002</v>
      </c>
      <c r="AK19" s="107">
        <f>AK18*1.03</f>
        <v>835.9892</v>
      </c>
      <c r="AL19">
        <v>96</v>
      </c>
      <c r="AM19" s="10">
        <f>AM18*(1+AM$7+AM$8)</f>
        <v>1505.686</v>
      </c>
      <c r="AN19" s="10">
        <f t="shared" si="12"/>
        <v>29.520300380146637</v>
      </c>
      <c r="AO19" s="130">
        <f>AN19/AH19</f>
        <v>0.010872095763337527</v>
      </c>
      <c r="AP19" s="131">
        <f t="shared" si="4"/>
        <v>0.39214948939099015</v>
      </c>
      <c r="AR19" s="132">
        <v>12649.642251397867</v>
      </c>
    </row>
    <row r="20" spans="1:44" ht="12.75">
      <c r="A20" s="13">
        <v>1</v>
      </c>
      <c r="B20" t="s">
        <v>169</v>
      </c>
      <c r="C20" s="10">
        <v>665</v>
      </c>
      <c r="I20" t="s">
        <v>136</v>
      </c>
      <c r="J20">
        <f t="shared" si="5"/>
        <v>2015</v>
      </c>
      <c r="K20" s="133">
        <f>K19*(1+K$7+K$8)*0.94</f>
        <v>3404.8623074934167</v>
      </c>
      <c r="L20" s="119">
        <f t="shared" si="14"/>
        <v>4076.7799265444464</v>
      </c>
      <c r="M20" s="10">
        <f aca="true" t="shared" si="16" ref="M20:M55">X20*AD20</f>
        <v>952.0379079999999</v>
      </c>
      <c r="N20" s="64">
        <f aca="true" t="shared" si="17" ref="N20:N55">N75</f>
        <v>-4.315905182933333</v>
      </c>
      <c r="O20" s="134">
        <f aca="true" t="shared" si="18" ref="O20:P24">O19*(1+O$7+O$10)</f>
        <v>875.8333222268712</v>
      </c>
      <c r="P20" s="134">
        <f t="shared" si="18"/>
        <v>746.7530836890681</v>
      </c>
      <c r="Q20" s="121">
        <f t="shared" si="15"/>
        <v>226.46651781144098</v>
      </c>
      <c r="R20" s="122">
        <v>0.017</v>
      </c>
      <c r="S20" s="10">
        <f aca="true" t="shared" si="19" ref="S20:U55">S19*(1+S$7+S$8)</f>
        <v>1005.8879999999996</v>
      </c>
      <c r="T20" s="10">
        <f>T19*(1+T$7+T$8)</f>
        <v>397.09999999999997</v>
      </c>
      <c r="U20" s="123">
        <f>U19*(1+U$7+U$8)</f>
        <v>-122.99999999999999</v>
      </c>
      <c r="V20" s="124">
        <f t="shared" si="7"/>
        <v>-671.9176190510298</v>
      </c>
      <c r="W20" s="125">
        <f t="shared" si="13"/>
        <v>13321.55987028273</v>
      </c>
      <c r="X20">
        <f>X19*(1+X$7+X$8)</f>
        <v>18099.579999999998</v>
      </c>
      <c r="Y20" s="16">
        <f t="shared" si="1"/>
        <v>0.18811830481665415</v>
      </c>
      <c r="Z20" s="16">
        <f t="shared" si="2"/>
        <v>0.22524168663275318</v>
      </c>
      <c r="AA20" s="126">
        <f t="shared" si="8"/>
        <v>0.7360148616864441</v>
      </c>
      <c r="AB20" s="15">
        <f t="shared" si="9"/>
        <v>7360.1486168644415</v>
      </c>
      <c r="AC20" s="127">
        <f t="shared" si="10"/>
        <v>0.05236154666666667</v>
      </c>
      <c r="AD20" s="16">
        <f aca="true" t="shared" si="20" ref="AD20:AD39">AD19+AD$9</f>
        <v>0.0526</v>
      </c>
      <c r="AE20" s="128">
        <f>(AI20*1.01-AG20)/(K20-((115*(1+K$7+K$8)^(J20-2014))))</f>
        <v>0.4931182861011275</v>
      </c>
      <c r="AF20" s="129">
        <f aca="true" t="shared" si="21" ref="AF20:AF55">(K20-((115*(1+K$7+K$8)^(J20-2014))))*AE20</f>
        <v>1619.1722894202646</v>
      </c>
      <c r="AG20" s="8">
        <f>AG19*(1+AG$7+AG$8)</f>
        <v>1189.6499999999999</v>
      </c>
      <c r="AH20" s="8">
        <f>AF20+AG20</f>
        <v>2808.8222894202645</v>
      </c>
      <c r="AI20" s="10">
        <f aca="true" t="shared" si="22" ref="AI20:AI55">AJ20+AK20+AL20+AM20</f>
        <v>2781.012167742836</v>
      </c>
      <c r="AJ20" s="134">
        <f aca="true" t="shared" si="23" ref="AJ20:AK24">AJ19*(1+AJ$7+AJ$10)</f>
        <v>237.16342494012355</v>
      </c>
      <c r="AK20" s="134">
        <f t="shared" si="23"/>
        <v>887.935302802713</v>
      </c>
      <c r="AL20">
        <v>90</v>
      </c>
      <c r="AM20" s="10">
        <f aca="true" t="shared" si="24" ref="AM20:AM55">AM19*(1+AM$7+AM$8)</f>
        <v>1565.9134399999996</v>
      </c>
      <c r="AN20" s="10">
        <f t="shared" si="12"/>
        <v>27.81012167742847</v>
      </c>
      <c r="AO20" s="130">
        <f aca="true" t="shared" si="25" ref="AO20:AO55">AN20/AH20</f>
        <v>0.00990099009900994</v>
      </c>
      <c r="AP20" s="131">
        <f t="shared" si="4"/>
        <v>0.3788923330976345</v>
      </c>
      <c r="AR20" s="132">
        <v>13321.559871261234</v>
      </c>
    </row>
    <row r="21" spans="2:44" ht="12.75">
      <c r="B21" t="s">
        <v>3</v>
      </c>
      <c r="C21" s="10">
        <v>32</v>
      </c>
      <c r="I21" s="135" t="s">
        <v>85</v>
      </c>
      <c r="J21">
        <f t="shared" si="5"/>
        <v>2016</v>
      </c>
      <c r="K21" s="133">
        <f aca="true" t="shared" si="26" ref="K21:K55">K20*(1+K$7+K$8)</f>
        <v>3592.1297344055542</v>
      </c>
      <c r="L21" s="119">
        <f t="shared" si="14"/>
        <v>4145.163763815099</v>
      </c>
      <c r="M21" s="10">
        <f t="shared" si="16"/>
        <v>1015.8570270799999</v>
      </c>
      <c r="N21" s="64">
        <f t="shared" si="17"/>
        <v>-6.907827784143999</v>
      </c>
      <c r="O21" s="134">
        <f t="shared" si="18"/>
        <v>837.4279566844525</v>
      </c>
      <c r="P21" s="134">
        <f t="shared" si="18"/>
        <v>714.0078975661106</v>
      </c>
      <c r="Q21" s="121">
        <f t="shared" si="15"/>
        <v>249.74269026867964</v>
      </c>
      <c r="R21" s="122">
        <f>R20+0.001</f>
        <v>0.018000000000000002</v>
      </c>
      <c r="S21" s="10">
        <f t="shared" si="19"/>
        <v>1046.1235199999994</v>
      </c>
      <c r="T21" s="10">
        <f t="shared" si="19"/>
        <v>414.9694999999999</v>
      </c>
      <c r="U21" s="123">
        <f t="shared" si="19"/>
        <v>-126.07499999999997</v>
      </c>
      <c r="V21" s="124">
        <f t="shared" si="7"/>
        <v>-553.0340294095445</v>
      </c>
      <c r="W21" s="125">
        <f t="shared" si="13"/>
        <v>13874.593899692274</v>
      </c>
      <c r="X21">
        <f aca="true" t="shared" si="27" ref="X21:X55">X20*(1+X$7+X$8)</f>
        <v>19095.056899999996</v>
      </c>
      <c r="Y21" s="16">
        <f t="shared" si="1"/>
        <v>0.18811830481665415</v>
      </c>
      <c r="Z21" s="16">
        <f t="shared" si="2"/>
        <v>0.21708046147875576</v>
      </c>
      <c r="AA21" s="136">
        <f t="shared" si="8"/>
        <v>0.7266065753222384</v>
      </c>
      <c r="AB21" s="15">
        <f t="shared" si="9"/>
        <v>7266.065753222384</v>
      </c>
      <c r="AC21" s="127">
        <f t="shared" si="10"/>
        <v>0.05283824</v>
      </c>
      <c r="AD21" s="16">
        <f t="shared" si="20"/>
        <v>0.053200000000000004</v>
      </c>
      <c r="AE21" s="128">
        <f aca="true" t="shared" si="28" ref="AE21:AE55">(AI21*1.01-AG21)/(K21-((115*(1+K$7+K$8)^(J21-2014))))</f>
        <v>0.4855091433362329</v>
      </c>
      <c r="AF21" s="129">
        <f t="shared" si="21"/>
        <v>1681.8676914637422</v>
      </c>
      <c r="AG21" s="8">
        <f aca="true" t="shared" si="29" ref="AG21:AG55">AG20*(1+AG$7+AG$8)</f>
        <v>1225.3394999999996</v>
      </c>
      <c r="AH21" s="8">
        <f aca="true" t="shared" si="30" ref="AH21:AH55">AF21+AG21</f>
        <v>2907.2071914637418</v>
      </c>
      <c r="AI21" s="10">
        <f t="shared" si="22"/>
        <v>2878.4229618452887</v>
      </c>
      <c r="AJ21" s="134">
        <f t="shared" si="23"/>
        <v>226.76378862010003</v>
      </c>
      <c r="AK21" s="134">
        <f t="shared" si="23"/>
        <v>943.1091956251894</v>
      </c>
      <c r="AL21">
        <v>80</v>
      </c>
      <c r="AM21" s="10">
        <f t="shared" si="24"/>
        <v>1628.5499775999992</v>
      </c>
      <c r="AN21" s="10">
        <f t="shared" si="12"/>
        <v>28.784229618453082</v>
      </c>
      <c r="AO21" s="130">
        <f t="shared" si="25"/>
        <v>0.009900990099009967</v>
      </c>
      <c r="AP21" s="131">
        <f t="shared" si="4"/>
        <v>0.36782224648204054</v>
      </c>
      <c r="AR21" s="132">
        <v>13874.593903815534</v>
      </c>
    </row>
    <row r="22" spans="2:44" ht="12.75">
      <c r="B22" t="s">
        <v>2</v>
      </c>
      <c r="C22" s="10">
        <f>38+9+24</f>
        <v>71</v>
      </c>
      <c r="I22" s="137" t="s">
        <v>77</v>
      </c>
      <c r="J22">
        <f t="shared" si="5"/>
        <v>2017</v>
      </c>
      <c r="K22" s="133">
        <f t="shared" si="26"/>
        <v>3789.6968697978596</v>
      </c>
      <c r="L22" s="119">
        <f t="shared" si="14"/>
        <v>4221.622579613911</v>
      </c>
      <c r="M22" s="10">
        <f t="shared" si="16"/>
        <v>1083.8163345870998</v>
      </c>
      <c r="N22" s="64">
        <f t="shared" si="17"/>
        <v>-9.826601433589707</v>
      </c>
      <c r="O22" s="134">
        <f t="shared" si="18"/>
        <v>800.7066696818827</v>
      </c>
      <c r="P22" s="134">
        <f t="shared" si="18"/>
        <v>682.6985906348801</v>
      </c>
      <c r="Q22" s="121">
        <f t="shared" si="15"/>
        <v>271.8238728436399</v>
      </c>
      <c r="R22" s="122">
        <f aca="true" t="shared" si="31" ref="R22:R51">R21+0.001</f>
        <v>0.019000000000000003</v>
      </c>
      <c r="S22" s="10">
        <f t="shared" si="19"/>
        <v>1087.968460799999</v>
      </c>
      <c r="T22" s="10">
        <f t="shared" si="19"/>
        <v>433.6431274999999</v>
      </c>
      <c r="U22" s="123">
        <f t="shared" si="19"/>
        <v>-129.22687499999995</v>
      </c>
      <c r="V22" s="124">
        <f t="shared" si="7"/>
        <v>-431.92570981605104</v>
      </c>
      <c r="W22" s="125">
        <f t="shared" si="13"/>
        <v>14306.519609508325</v>
      </c>
      <c r="X22">
        <f t="shared" si="27"/>
        <v>20145.285029499995</v>
      </c>
      <c r="Y22" s="16">
        <f t="shared" si="1"/>
        <v>0.18811830481665415</v>
      </c>
      <c r="Z22" s="16">
        <f t="shared" si="2"/>
        <v>0.2095588408618655</v>
      </c>
      <c r="AA22" s="136">
        <f t="shared" si="8"/>
        <v>0.7101671477250581</v>
      </c>
      <c r="AB22" s="15">
        <f t="shared" si="9"/>
        <v>7101.671477250581</v>
      </c>
      <c r="AC22" s="127">
        <f t="shared" si="10"/>
        <v>0.05331221333333334</v>
      </c>
      <c r="AD22" s="16">
        <f t="shared" si="20"/>
        <v>0.05380000000000001</v>
      </c>
      <c r="AE22" s="128">
        <f t="shared" si="28"/>
        <v>0.4788260945940272</v>
      </c>
      <c r="AF22" s="129">
        <f t="shared" si="21"/>
        <v>1749.946149514792</v>
      </c>
      <c r="AG22" s="8">
        <f t="shared" si="29"/>
        <v>1262.0996849999992</v>
      </c>
      <c r="AH22" s="8">
        <f>AF22+AG22</f>
        <v>3012.0458345147913</v>
      </c>
      <c r="AI22" s="10">
        <f t="shared" si="22"/>
        <v>2982.2235985294965</v>
      </c>
      <c r="AJ22" s="134">
        <f t="shared" si="23"/>
        <v>216.82017723569234</v>
      </c>
      <c r="AK22" s="134">
        <f t="shared" si="23"/>
        <v>1001.7114445898052</v>
      </c>
      <c r="AL22">
        <v>70</v>
      </c>
      <c r="AM22" s="10">
        <f t="shared" si="24"/>
        <v>1693.691976703999</v>
      </c>
      <c r="AN22" s="10">
        <f t="shared" si="12"/>
        <v>29.82223598529481</v>
      </c>
      <c r="AO22" s="130">
        <f t="shared" si="25"/>
        <v>0.00990099009900985</v>
      </c>
      <c r="AP22" s="131">
        <f t="shared" si="4"/>
        <v>0.3575946514330458</v>
      </c>
      <c r="AR22" s="132">
        <v>14306.519623349466</v>
      </c>
    </row>
    <row r="23" spans="2:44" ht="12.75">
      <c r="B23" t="s">
        <v>218</v>
      </c>
      <c r="C23" s="10">
        <f>SUM(C11:C22)</f>
        <v>9883.2</v>
      </c>
      <c r="I23" s="137" t="s">
        <v>78</v>
      </c>
      <c r="J23">
        <f t="shared" si="5"/>
        <v>2018</v>
      </c>
      <c r="K23" s="133">
        <f t="shared" si="26"/>
        <v>3998.1301976367417</v>
      </c>
      <c r="L23" s="119">
        <f t="shared" si="14"/>
        <v>4305.925682473833</v>
      </c>
      <c r="M23" s="10">
        <f t="shared" si="16"/>
        <v>1156.178198413064</v>
      </c>
      <c r="N23" s="64">
        <f t="shared" si="17"/>
        <v>-13.103352915348061</v>
      </c>
      <c r="O23" s="134">
        <f t="shared" si="18"/>
        <v>765.5956142322023</v>
      </c>
      <c r="P23" s="134">
        <f t="shared" si="18"/>
        <v>652.7621994709059</v>
      </c>
      <c r="Q23" s="121">
        <f t="shared" si="15"/>
        <v>292.28630267851133</v>
      </c>
      <c r="R23" s="122">
        <f t="shared" si="31"/>
        <v>0.020000000000000004</v>
      </c>
      <c r="S23" s="10">
        <f t="shared" si="19"/>
        <v>1131.4871992319988</v>
      </c>
      <c r="T23" s="10">
        <f t="shared" si="19"/>
        <v>453.15706823749986</v>
      </c>
      <c r="U23" s="123">
        <f t="shared" si="19"/>
        <v>-132.45754687499993</v>
      </c>
      <c r="V23" s="124">
        <f t="shared" si="7"/>
        <v>-307.7954848370914</v>
      </c>
      <c r="W23" s="125">
        <f t="shared" si="13"/>
        <v>14614.315094345417</v>
      </c>
      <c r="X23">
        <f t="shared" si="27"/>
        <v>21253.275706122495</v>
      </c>
      <c r="Y23" s="16">
        <f t="shared" si="1"/>
        <v>0.18811830481665415</v>
      </c>
      <c r="Z23" s="16">
        <f t="shared" si="2"/>
        <v>0.2026005657675354</v>
      </c>
      <c r="AA23" s="136">
        <f t="shared" si="8"/>
        <v>0.6876264768040169</v>
      </c>
      <c r="AB23" s="15">
        <f t="shared" si="9"/>
        <v>6876.264768040169</v>
      </c>
      <c r="AC23" s="127">
        <f t="shared" si="10"/>
        <v>0.053783466666666675</v>
      </c>
      <c r="AD23" s="16">
        <f t="shared" si="20"/>
        <v>0.05440000000000001</v>
      </c>
      <c r="AE23" s="128">
        <f t="shared" si="28"/>
        <v>0.4729849596393523</v>
      </c>
      <c r="AF23" s="129">
        <f t="shared" si="21"/>
        <v>1823.6717260138385</v>
      </c>
      <c r="AG23" s="8">
        <f t="shared" si="29"/>
        <v>1299.962675549999</v>
      </c>
      <c r="AH23" s="8">
        <f t="shared" si="30"/>
        <v>3123.6344015638374</v>
      </c>
      <c r="AI23" s="10">
        <f t="shared" si="22"/>
        <v>3092.707328281027</v>
      </c>
      <c r="AJ23" s="134">
        <f t="shared" si="23"/>
        <v>207.31259405475487</v>
      </c>
      <c r="AK23" s="134">
        <f t="shared" si="23"/>
        <v>1063.9550784541136</v>
      </c>
      <c r="AL23">
        <v>60</v>
      </c>
      <c r="AM23" s="10">
        <f t="shared" si="24"/>
        <v>1761.4396557721586</v>
      </c>
      <c r="AN23" s="10">
        <f t="shared" si="12"/>
        <v>30.927073282810397</v>
      </c>
      <c r="AO23" s="130">
        <f t="shared" si="25"/>
        <v>0.009900990099009941</v>
      </c>
      <c r="AP23" s="131">
        <f t="shared" si="4"/>
        <v>0.3481173026247203</v>
      </c>
      <c r="AR23" s="132">
        <v>14614.315133925564</v>
      </c>
    </row>
    <row r="24" spans="2:44" ht="12.75">
      <c r="B24" t="s">
        <v>217</v>
      </c>
      <c r="C24" s="10">
        <f>C23*1.025*1.062*1.069*1.05*1.05</f>
        <v>12679.504129668601</v>
      </c>
      <c r="I24" s="138" t="s">
        <v>79</v>
      </c>
      <c r="J24">
        <f t="shared" si="5"/>
        <v>2019</v>
      </c>
      <c r="K24" s="133">
        <f t="shared" si="26"/>
        <v>4218.0273585067625</v>
      </c>
      <c r="L24" s="119">
        <f t="shared" si="14"/>
        <v>4397.836668568093</v>
      </c>
      <c r="M24" s="10">
        <f t="shared" si="16"/>
        <v>1233.221322847758</v>
      </c>
      <c r="N24" s="64">
        <f t="shared" si="17"/>
        <v>-16.771809990729516</v>
      </c>
      <c r="O24" s="134">
        <f t="shared" si="18"/>
        <v>732.0241815451002</v>
      </c>
      <c r="P24" s="134">
        <f t="shared" si="18"/>
        <v>624.1385216012261</v>
      </c>
      <c r="Q24" s="121">
        <f t="shared" si="15"/>
        <v>310.6766146021475</v>
      </c>
      <c r="R24" s="122">
        <f t="shared" si="31"/>
        <v>0.021000000000000005</v>
      </c>
      <c r="S24" s="10">
        <f t="shared" si="19"/>
        <v>1176.7466872012785</v>
      </c>
      <c r="T24" s="10">
        <f t="shared" si="19"/>
        <v>473.5491363081873</v>
      </c>
      <c r="U24" s="123">
        <f t="shared" si="19"/>
        <v>-135.76898554687492</v>
      </c>
      <c r="V24" s="124">
        <f t="shared" si="7"/>
        <v>-179.8093100613305</v>
      </c>
      <c r="W24" s="125">
        <f t="shared" si="13"/>
        <v>14794.124404406746</v>
      </c>
      <c r="X24">
        <f t="shared" si="27"/>
        <v>22422.20586995923</v>
      </c>
      <c r="Y24" s="16">
        <f t="shared" si="1"/>
        <v>0.18811830481665415</v>
      </c>
      <c r="Z24" s="16">
        <f t="shared" si="2"/>
        <v>0.1961375564060901</v>
      </c>
      <c r="AA24" s="136">
        <f t="shared" si="8"/>
        <v>0.6597979025885041</v>
      </c>
      <c r="AB24" s="15">
        <f t="shared" si="9"/>
        <v>6597.979025885042</v>
      </c>
      <c r="AC24" s="127">
        <f t="shared" si="10"/>
        <v>0.054252000000000015</v>
      </c>
      <c r="AD24" s="16">
        <f t="shared" si="20"/>
        <v>0.055000000000000014</v>
      </c>
      <c r="AE24" s="128">
        <f t="shared" si="28"/>
        <v>0.46790894359364904</v>
      </c>
      <c r="AF24" s="129">
        <f t="shared" si="21"/>
        <v>1903.3258236374209</v>
      </c>
      <c r="AG24" s="8">
        <f t="shared" si="29"/>
        <v>1338.9615558164987</v>
      </c>
      <c r="AH24" s="8">
        <f t="shared" si="30"/>
        <v>3242.2873794539196</v>
      </c>
      <c r="AI24" s="10">
        <f t="shared" si="22"/>
        <v>3210.1855242118017</v>
      </c>
      <c r="AJ24" s="134">
        <f t="shared" si="23"/>
        <v>198.2219192035444</v>
      </c>
      <c r="AK24" s="134">
        <f t="shared" si="23"/>
        <v>1130.066363005213</v>
      </c>
      <c r="AL24">
        <v>50</v>
      </c>
      <c r="AM24" s="10">
        <f t="shared" si="24"/>
        <v>1831.8972420030445</v>
      </c>
      <c r="AN24" s="10">
        <f t="shared" si="12"/>
        <v>32.101855242117836</v>
      </c>
      <c r="AO24" s="130">
        <f t="shared" si="25"/>
        <v>0.009900990099009846</v>
      </c>
      <c r="AP24" s="131">
        <f t="shared" si="4"/>
        <v>0.33930748102589464</v>
      </c>
      <c r="AR24" s="132">
        <v>14794.124504864163</v>
      </c>
    </row>
    <row r="25" spans="2:44" ht="12.75">
      <c r="B25" t="s">
        <v>176</v>
      </c>
      <c r="C25" s="139">
        <f>C24*1.08</f>
        <v>13693.86446004209</v>
      </c>
      <c r="J25">
        <f t="shared" si="5"/>
        <v>2020</v>
      </c>
      <c r="K25" s="133">
        <f t="shared" si="26"/>
        <v>4450.0188632246345</v>
      </c>
      <c r="L25" s="119">
        <f t="shared" si="14"/>
        <v>4610.742040273053</v>
      </c>
      <c r="M25" s="10">
        <f t="shared" si="16"/>
        <v>1315.241751920069</v>
      </c>
      <c r="N25" s="64">
        <f t="shared" si="17"/>
        <v>-20.86850246379843</v>
      </c>
      <c r="O25" s="10">
        <f>O24*(1+O$7+O$8)</f>
        <v>764.9652697146297</v>
      </c>
      <c r="P25" s="10">
        <f>P24*(1+P$7+P$8)</f>
        <v>642.8626772492628</v>
      </c>
      <c r="Q25" s="121">
        <f t="shared" si="15"/>
        <v>329.00665190705195</v>
      </c>
      <c r="R25" s="122">
        <f t="shared" si="31"/>
        <v>0.022000000000000006</v>
      </c>
      <c r="S25" s="10">
        <f t="shared" si="19"/>
        <v>1223.8165546893295</v>
      </c>
      <c r="T25" s="10">
        <f t="shared" si="19"/>
        <v>494.8588474420557</v>
      </c>
      <c r="U25" s="123">
        <f t="shared" si="19"/>
        <v>-139.16321018554677</v>
      </c>
      <c r="V25" s="124">
        <f t="shared" si="7"/>
        <v>-160.72317704841862</v>
      </c>
      <c r="W25" s="125">
        <f t="shared" si="13"/>
        <v>14954.847581455164</v>
      </c>
      <c r="X25">
        <f t="shared" si="27"/>
        <v>23655.427192806987</v>
      </c>
      <c r="Y25" s="16">
        <f t="shared" si="1"/>
        <v>0.18811830481665417</v>
      </c>
      <c r="Z25" s="16">
        <f t="shared" si="2"/>
        <v>0.1949126516588575</v>
      </c>
      <c r="AA25" s="136">
        <f t="shared" si="8"/>
        <v>0.6321952023763304</v>
      </c>
      <c r="AB25" s="15">
        <f t="shared" si="9"/>
        <v>6321.952023763304</v>
      </c>
      <c r="AC25" s="127">
        <f t="shared" si="10"/>
        <v>0.05471781333333335</v>
      </c>
      <c r="AD25" s="16">
        <f t="shared" si="20"/>
        <v>0.05560000000000002</v>
      </c>
      <c r="AE25" s="128">
        <f t="shared" si="28"/>
        <v>0.46178531656272825</v>
      </c>
      <c r="AF25" s="129">
        <f t="shared" si="21"/>
        <v>1981.7294928330605</v>
      </c>
      <c r="AG25" s="8">
        <f>AG24*(1+AG$7+AG$8)</f>
        <v>1379.1304024909934</v>
      </c>
      <c r="AH25" s="8">
        <f t="shared" si="30"/>
        <v>3360.859895324054</v>
      </c>
      <c r="AI25" s="10">
        <f>AJ25+AK25+AL25+AM25</f>
        <v>3327.584054776291</v>
      </c>
      <c r="AJ25" s="121">
        <f>AJ24*(1+AJ$7+AJ$8)</f>
        <v>207.14190556770387</v>
      </c>
      <c r="AK25" s="10">
        <f>AK24*(1+AK$7+AK$8)</f>
        <v>1175.2690175254213</v>
      </c>
      <c r="AL25">
        <v>40</v>
      </c>
      <c r="AM25" s="10">
        <f t="shared" si="24"/>
        <v>1905.173131683166</v>
      </c>
      <c r="AN25" s="10">
        <f t="shared" si="12"/>
        <v>33.27584054776298</v>
      </c>
      <c r="AO25" s="130">
        <f t="shared" si="25"/>
        <v>0.009900990099009922</v>
      </c>
      <c r="AP25" s="131">
        <f t="shared" si="4"/>
        <v>0.33558159953514544</v>
      </c>
      <c r="AR25" s="132">
        <v>14954.847813956902</v>
      </c>
    </row>
    <row r="26" spans="1:44" ht="12.75">
      <c r="A26" s="13">
        <v>9</v>
      </c>
      <c r="B26" t="s">
        <v>42</v>
      </c>
      <c r="C26" s="10">
        <f>F81</f>
        <v>3247.0972533000004</v>
      </c>
      <c r="J26">
        <f t="shared" si="5"/>
        <v>2021</v>
      </c>
      <c r="K26" s="133">
        <f t="shared" si="26"/>
        <v>4694.769900701989</v>
      </c>
      <c r="L26" s="119">
        <f t="shared" si="14"/>
        <v>4833.078239792857</v>
      </c>
      <c r="M26" s="10">
        <f t="shared" si="16"/>
        <v>1402.5539336887196</v>
      </c>
      <c r="N26" s="64">
        <f t="shared" si="17"/>
        <v>-25.43297799755545</v>
      </c>
      <c r="O26" s="10">
        <f aca="true" t="shared" si="32" ref="O26:P55">O25*(1+O$7+O$8)</f>
        <v>799.388706851788</v>
      </c>
      <c r="P26" s="10">
        <f t="shared" si="32"/>
        <v>662.1485575667406</v>
      </c>
      <c r="Q26" s="121">
        <f t="shared" si="15"/>
        <v>347.14259766949834</v>
      </c>
      <c r="R26" s="122">
        <f t="shared" si="31"/>
        <v>0.023000000000000007</v>
      </c>
      <c r="S26" s="10">
        <f t="shared" si="19"/>
        <v>1272.7692168769024</v>
      </c>
      <c r="T26" s="10">
        <f t="shared" si="19"/>
        <v>517.1274955769481</v>
      </c>
      <c r="U26" s="123">
        <f t="shared" si="19"/>
        <v>-142.64229044018543</v>
      </c>
      <c r="V26" s="124">
        <f t="shared" si="7"/>
        <v>-138.30833909086778</v>
      </c>
      <c r="W26" s="125">
        <f t="shared" si="13"/>
        <v>15093.155920546033</v>
      </c>
      <c r="X26">
        <f t="shared" si="27"/>
        <v>24956.47568841137</v>
      </c>
      <c r="Y26" s="16">
        <f t="shared" si="1"/>
        <v>0.18811830481665417</v>
      </c>
      <c r="Z26" s="16">
        <f t="shared" si="2"/>
        <v>0.1936602868183473</v>
      </c>
      <c r="AA26" s="136">
        <f t="shared" si="8"/>
        <v>0.6047791406522434</v>
      </c>
      <c r="AB26" s="15">
        <f t="shared" si="9"/>
        <v>6047.791406522434</v>
      </c>
      <c r="AC26" s="127">
        <f t="shared" si="10"/>
        <v>0.05518090666666668</v>
      </c>
      <c r="AD26" s="16">
        <f t="shared" si="20"/>
        <v>0.05620000000000002</v>
      </c>
      <c r="AE26" s="128">
        <f t="shared" si="28"/>
        <v>0.45590907609698217</v>
      </c>
      <c r="AF26" s="129">
        <f t="shared" si="21"/>
        <v>2064.12004319441</v>
      </c>
      <c r="AG26" s="8">
        <f t="shared" si="29"/>
        <v>1420.504314565723</v>
      </c>
      <c r="AH26" s="8">
        <f t="shared" si="30"/>
        <v>3484.6243577601326</v>
      </c>
      <c r="AI26" s="10">
        <f t="shared" si="22"/>
        <v>3450.1231264951807</v>
      </c>
      <c r="AJ26" s="121">
        <f>AJ25*(1+AJ$7+AJ$8)</f>
        <v>216.46329131825053</v>
      </c>
      <c r="AK26" s="10">
        <f aca="true" t="shared" si="33" ref="AK26:AK55">AK25*(1+AK$7+AK$8)</f>
        <v>1222.2797782264379</v>
      </c>
      <c r="AL26">
        <v>30</v>
      </c>
      <c r="AM26" s="10">
        <f t="shared" si="24"/>
        <v>1981.3800569504924</v>
      </c>
      <c r="AN26" s="10">
        <f t="shared" si="12"/>
        <v>34.50123126495191</v>
      </c>
      <c r="AO26" s="130">
        <f t="shared" si="25"/>
        <v>0.00990099009900993</v>
      </c>
      <c r="AP26" s="131">
        <f t="shared" si="4"/>
        <v>0.3319058936728944</v>
      </c>
      <c r="AR26" s="132">
        <v>15093.156420412968</v>
      </c>
    </row>
    <row r="27" spans="1:44" ht="12.75">
      <c r="A27" s="13">
        <v>6</v>
      </c>
      <c r="B27" t="s">
        <v>173</v>
      </c>
      <c r="C27">
        <v>540</v>
      </c>
      <c r="J27">
        <f t="shared" si="5"/>
        <v>2022</v>
      </c>
      <c r="K27" s="133">
        <f t="shared" si="26"/>
        <v>4952.982245240598</v>
      </c>
      <c r="L27" s="119">
        <f t="shared" si="14"/>
        <v>5065.180421722623</v>
      </c>
      <c r="M27" s="10">
        <f t="shared" si="16"/>
        <v>1495.4918491523636</v>
      </c>
      <c r="N27" s="64">
        <f t="shared" si="17"/>
        <v>-30.508033722708223</v>
      </c>
      <c r="O27" s="10">
        <f t="shared" si="32"/>
        <v>835.3611986601185</v>
      </c>
      <c r="P27" s="10">
        <f t="shared" si="32"/>
        <v>682.0130142937427</v>
      </c>
      <c r="Q27" s="121">
        <f t="shared" si="15"/>
        <v>364.92852261040684</v>
      </c>
      <c r="R27" s="122">
        <f t="shared" si="31"/>
        <v>0.024000000000000007</v>
      </c>
      <c r="S27" s="10">
        <f t="shared" si="19"/>
        <v>1323.6799855519782</v>
      </c>
      <c r="T27" s="10">
        <f t="shared" si="19"/>
        <v>540.3982328779108</v>
      </c>
      <c r="U27" s="123">
        <f t="shared" si="19"/>
        <v>-146.20834770119006</v>
      </c>
      <c r="V27" s="124">
        <f t="shared" si="7"/>
        <v>-112.19817648202479</v>
      </c>
      <c r="W27" s="125">
        <f t="shared" si="13"/>
        <v>15205.354097028057</v>
      </c>
      <c r="X27">
        <f t="shared" si="27"/>
        <v>26329.081851273993</v>
      </c>
      <c r="Y27" s="16">
        <f t="shared" si="1"/>
        <v>0.18811830481665415</v>
      </c>
      <c r="Z27" s="16">
        <f t="shared" si="2"/>
        <v>0.19237968305672354</v>
      </c>
      <c r="AA27" s="136">
        <f t="shared" si="8"/>
        <v>0.5775117485265561</v>
      </c>
      <c r="AB27" s="15">
        <f t="shared" si="9"/>
        <v>5775.11748526556</v>
      </c>
      <c r="AC27" s="127">
        <f t="shared" si="10"/>
        <v>0.05564128000000003</v>
      </c>
      <c r="AD27" s="16">
        <f t="shared" si="20"/>
        <v>0.056800000000000024</v>
      </c>
      <c r="AE27" s="128">
        <f t="shared" si="28"/>
        <v>0.45026149821728495</v>
      </c>
      <c r="AF27" s="129">
        <f t="shared" si="21"/>
        <v>2150.671027689</v>
      </c>
      <c r="AG27" s="8">
        <f t="shared" si="29"/>
        <v>1463.1194440026943</v>
      </c>
      <c r="AH27" s="8">
        <f t="shared" si="30"/>
        <v>3613.790471691694</v>
      </c>
      <c r="AI27" s="10">
        <f t="shared" si="22"/>
        <v>3578.0103680115785</v>
      </c>
      <c r="AJ27" s="121">
        <f aca="true" t="shared" si="34" ref="AJ27:AJ55">AJ26*(1+AJ$7+AJ$8)</f>
        <v>226.2041394275718</v>
      </c>
      <c r="AK27" s="10">
        <f t="shared" si="33"/>
        <v>1271.1709693554951</v>
      </c>
      <c r="AL27">
        <v>20</v>
      </c>
      <c r="AM27" s="10">
        <f t="shared" si="24"/>
        <v>2060.6352592285116</v>
      </c>
      <c r="AN27" s="10">
        <f t="shared" si="12"/>
        <v>35.780103680115644</v>
      </c>
      <c r="AO27" s="130">
        <f t="shared" si="25"/>
        <v>0.009900990099009863</v>
      </c>
      <c r="AP27" s="131">
        <f t="shared" si="4"/>
        <v>0.32827543469070797</v>
      </c>
      <c r="AR27" s="132">
        <v>15205.355108766948</v>
      </c>
    </row>
    <row r="28" spans="1:44" ht="12.75">
      <c r="A28" s="13">
        <v>7</v>
      </c>
      <c r="B28" t="s">
        <v>150</v>
      </c>
      <c r="C28">
        <v>183</v>
      </c>
      <c r="E28" s="140" t="s">
        <v>102</v>
      </c>
      <c r="F28" s="141" t="s">
        <v>103</v>
      </c>
      <c r="J28">
        <f t="shared" si="5"/>
        <v>2023</v>
      </c>
      <c r="K28" s="133">
        <f t="shared" si="26"/>
        <v>5225.39626872883</v>
      </c>
      <c r="L28" s="119">
        <f t="shared" si="14"/>
        <v>5307.384490828847</v>
      </c>
      <c r="M28" s="10">
        <f t="shared" si="16"/>
        <v>1594.4102096675997</v>
      </c>
      <c r="N28" s="64">
        <f t="shared" si="17"/>
        <v>-36.139964752465595</v>
      </c>
      <c r="O28" s="10">
        <f t="shared" si="32"/>
        <v>872.9524525998238</v>
      </c>
      <c r="P28" s="10">
        <f t="shared" si="32"/>
        <v>702.4734047225548</v>
      </c>
      <c r="Q28" s="121">
        <f t="shared" si="15"/>
        <v>382.1836066535802</v>
      </c>
      <c r="R28" s="122">
        <f t="shared" si="31"/>
        <v>0.02500000000000001</v>
      </c>
      <c r="S28" s="10">
        <f t="shared" si="19"/>
        <v>1376.6271849740572</v>
      </c>
      <c r="T28" s="10">
        <f t="shared" si="19"/>
        <v>564.7161533574167</v>
      </c>
      <c r="U28" s="123">
        <f t="shared" si="19"/>
        <v>-149.8635563937198</v>
      </c>
      <c r="V28" s="124">
        <f t="shared" si="7"/>
        <v>-81.98822210001708</v>
      </c>
      <c r="W28" s="125">
        <f t="shared" si="13"/>
        <v>15287.342319128074</v>
      </c>
      <c r="X28">
        <f t="shared" si="27"/>
        <v>27777.18135309406</v>
      </c>
      <c r="Y28" s="16">
        <f t="shared" si="1"/>
        <v>0.18811830481665415</v>
      </c>
      <c r="Z28" s="16">
        <f t="shared" si="2"/>
        <v>0.1910699441877556</v>
      </c>
      <c r="AA28" s="136">
        <f t="shared" si="8"/>
        <v>0.5503561403441404</v>
      </c>
      <c r="AB28" s="15">
        <f t="shared" si="9"/>
        <v>5503.561403441404</v>
      </c>
      <c r="AC28" s="127">
        <f t="shared" si="10"/>
        <v>0.05609893333333336</v>
      </c>
      <c r="AD28" s="16">
        <f t="shared" si="20"/>
        <v>0.05740000000000003</v>
      </c>
      <c r="AE28" s="128">
        <f t="shared" si="28"/>
        <v>0.44662906876041225</v>
      </c>
      <c r="AF28" s="129">
        <f t="shared" si="21"/>
        <v>2250.653394140696</v>
      </c>
      <c r="AG28" s="8">
        <f t="shared" si="29"/>
        <v>1507.0130273227749</v>
      </c>
      <c r="AH28" s="8">
        <f t="shared" si="30"/>
        <v>3757.666421463471</v>
      </c>
      <c r="AI28" s="10">
        <f t="shared" si="22"/>
        <v>3720.461803429179</v>
      </c>
      <c r="AJ28" s="121">
        <f t="shared" si="34"/>
        <v>236.3833257018125</v>
      </c>
      <c r="AK28" s="10">
        <f t="shared" si="33"/>
        <v>1322.0178081297147</v>
      </c>
      <c r="AL28">
        <f aca="true" t="shared" si="35" ref="AL28:AL39">AL27-1</f>
        <v>19</v>
      </c>
      <c r="AM28" s="10">
        <f t="shared" si="24"/>
        <v>2143.0606695976517</v>
      </c>
      <c r="AN28" s="10">
        <f t="shared" si="12"/>
        <v>37.20461803429225</v>
      </c>
      <c r="AO28" s="130">
        <f t="shared" si="25"/>
        <v>0.009900990099010023</v>
      </c>
      <c r="AP28" s="131">
        <f t="shared" si="4"/>
        <v>0.325009444964884</v>
      </c>
      <c r="AR28" s="132">
        <v>15287.344266143204</v>
      </c>
    </row>
    <row r="29" spans="2:44" ht="12.75">
      <c r="B29" t="s">
        <v>45</v>
      </c>
      <c r="C29" s="10">
        <f>C26+C27+C28</f>
        <v>3970.0972533000004</v>
      </c>
      <c r="D29" s="14" t="s">
        <v>43</v>
      </c>
      <c r="E29" s="61">
        <v>0.03</v>
      </c>
      <c r="F29" s="8">
        <f>E29*C29</f>
        <v>119.10291759900001</v>
      </c>
      <c r="I29" s="142" t="s">
        <v>140</v>
      </c>
      <c r="J29">
        <f t="shared" si="5"/>
        <v>2024</v>
      </c>
      <c r="K29" s="133">
        <f t="shared" si="26"/>
        <v>5512.793063508916</v>
      </c>
      <c r="L29" s="119">
        <f t="shared" si="14"/>
        <v>5543.624316933685</v>
      </c>
      <c r="M29" s="10">
        <f t="shared" si="16"/>
        <v>1699.6857269958264</v>
      </c>
      <c r="N29" s="143">
        <f t="shared" si="17"/>
        <v>-58.35344344161876</v>
      </c>
      <c r="O29" s="10">
        <f t="shared" si="32"/>
        <v>912.2353129668159</v>
      </c>
      <c r="P29" s="10">
        <f t="shared" si="32"/>
        <v>723.5476068642314</v>
      </c>
      <c r="Q29" s="121">
        <f t="shared" si="15"/>
        <v>398.2726062204735</v>
      </c>
      <c r="R29" s="122">
        <f t="shared" si="31"/>
        <v>0.02600000000000001</v>
      </c>
      <c r="S29" s="10">
        <f t="shared" si="19"/>
        <v>1431.6922723730193</v>
      </c>
      <c r="T29" s="10">
        <f t="shared" si="19"/>
        <v>590.1283802585004</v>
      </c>
      <c r="U29" s="123">
        <f t="shared" si="19"/>
        <v>-153.61014530356277</v>
      </c>
      <c r="V29" s="124">
        <f t="shared" si="7"/>
        <v>-30.831253424768875</v>
      </c>
      <c r="W29" s="125">
        <f t="shared" si="13"/>
        <v>15318.173572552843</v>
      </c>
      <c r="X29">
        <f t="shared" si="27"/>
        <v>29304.926327514233</v>
      </c>
      <c r="Y29" s="16">
        <f t="shared" si="1"/>
        <v>0.18811830481665415</v>
      </c>
      <c r="Z29" s="16">
        <f t="shared" si="2"/>
        <v>0.18917038913449874</v>
      </c>
      <c r="AA29" s="136">
        <f t="shared" si="8"/>
        <v>0.5227166723217691</v>
      </c>
      <c r="AB29" s="15">
        <f t="shared" si="9"/>
        <v>5227.1667232176915</v>
      </c>
      <c r="AC29" s="127">
        <f t="shared" si="10"/>
        <v>0.05600874969657132</v>
      </c>
      <c r="AD29" s="16">
        <f t="shared" si="20"/>
        <v>0.05800000000000003</v>
      </c>
      <c r="AE29" s="128">
        <f t="shared" si="28"/>
        <v>0.4430037409588509</v>
      </c>
      <c r="AF29" s="129">
        <f t="shared" si="21"/>
        <v>2355.165795974345</v>
      </c>
      <c r="AG29" s="8">
        <f t="shared" si="29"/>
        <v>1552.2234181424578</v>
      </c>
      <c r="AH29" s="8">
        <f t="shared" si="30"/>
        <v>3907.389214116803</v>
      </c>
      <c r="AI29" s="10">
        <f t="shared" si="22"/>
        <v>3868.7021921948544</v>
      </c>
      <c r="AJ29" s="121">
        <f t="shared" si="34"/>
        <v>247.02057535839407</v>
      </c>
      <c r="AK29" s="10">
        <f t="shared" si="33"/>
        <v>1374.898520454903</v>
      </c>
      <c r="AL29">
        <f t="shared" si="35"/>
        <v>18</v>
      </c>
      <c r="AM29" s="10">
        <f t="shared" si="24"/>
        <v>2228.7830963815572</v>
      </c>
      <c r="AN29" s="10">
        <f t="shared" si="12"/>
        <v>38.6870219219486</v>
      </c>
      <c r="AO29" s="130">
        <f t="shared" si="25"/>
        <v>0.009900990099009915</v>
      </c>
      <c r="AP29" s="131">
        <f t="shared" si="4"/>
        <v>0.3211858103288033</v>
      </c>
      <c r="AR29" s="132">
        <v>15318.1771623259</v>
      </c>
    </row>
    <row r="30" spans="2:44" ht="12.75">
      <c r="B30" t="s">
        <v>105</v>
      </c>
      <c r="C30" s="10">
        <f>C25-C29</f>
        <v>9723.76720674209</v>
      </c>
      <c r="D30" s="14" t="s">
        <v>44</v>
      </c>
      <c r="E30" s="61">
        <v>0.2</v>
      </c>
      <c r="F30" s="8">
        <f>E30*C30</f>
        <v>1944.7534413484182</v>
      </c>
      <c r="I30" s="144" t="s">
        <v>158</v>
      </c>
      <c r="J30">
        <f t="shared" si="5"/>
        <v>2025</v>
      </c>
      <c r="K30" s="133">
        <f t="shared" si="26"/>
        <v>5815.996682001906</v>
      </c>
      <c r="L30" s="119">
        <f t="shared" si="14"/>
        <v>5787.9796561215935</v>
      </c>
      <c r="M30" s="10">
        <f t="shared" si="16"/>
        <v>1811.7184603459134</v>
      </c>
      <c r="N30" s="143">
        <f t="shared" si="17"/>
        <v>-83.3338620444994</v>
      </c>
      <c r="O30" s="10">
        <f t="shared" si="32"/>
        <v>953.2859020503225</v>
      </c>
      <c r="P30" s="10">
        <f t="shared" si="32"/>
        <v>745.2540350701582</v>
      </c>
      <c r="Q30" s="121">
        <f t="shared" si="15"/>
        <v>412.83439899777807</v>
      </c>
      <c r="R30" s="122">
        <f t="shared" si="31"/>
        <v>0.02700000000000001</v>
      </c>
      <c r="S30" s="10">
        <f t="shared" si="19"/>
        <v>1488.9599632679397</v>
      </c>
      <c r="T30" s="10">
        <f t="shared" si="19"/>
        <v>616.6841573701329</v>
      </c>
      <c r="U30" s="123">
        <f t="shared" si="19"/>
        <v>-157.45039893615183</v>
      </c>
      <c r="V30" s="124">
        <f t="shared" si="7"/>
        <v>28.017025880312758</v>
      </c>
      <c r="W30" s="125">
        <f t="shared" si="13"/>
        <v>15290.15654667253</v>
      </c>
      <c r="X30">
        <f t="shared" si="27"/>
        <v>30916.697275527513</v>
      </c>
      <c r="Y30" s="16">
        <f t="shared" si="1"/>
        <v>0.18811830481665417</v>
      </c>
      <c r="Z30" s="16">
        <f t="shared" si="2"/>
        <v>0.18721209463415547</v>
      </c>
      <c r="AA30" s="136">
        <f t="shared" si="8"/>
        <v>0.4945598299329223</v>
      </c>
      <c r="AB30" s="15">
        <f t="shared" si="9"/>
        <v>4945.598299329223</v>
      </c>
      <c r="AC30" s="127">
        <f t="shared" si="10"/>
        <v>0.055904567777669376</v>
      </c>
      <c r="AD30" s="16">
        <f t="shared" si="20"/>
        <v>0.058600000000000034</v>
      </c>
      <c r="AE30" s="128">
        <f t="shared" si="28"/>
        <v>0.43938529176058416</v>
      </c>
      <c r="AF30" s="129">
        <f t="shared" si="21"/>
        <v>2464.404915900303</v>
      </c>
      <c r="AG30" s="8">
        <f t="shared" si="29"/>
        <v>1598.7901206867314</v>
      </c>
      <c r="AH30" s="8">
        <f t="shared" si="30"/>
        <v>4063.1950365870343</v>
      </c>
      <c r="AI30" s="10">
        <f t="shared" si="22"/>
        <v>4022.9653827594398</v>
      </c>
      <c r="AJ30" s="121">
        <f t="shared" si="34"/>
        <v>258.13650124952176</v>
      </c>
      <c r="AK30" s="10">
        <f t="shared" si="33"/>
        <v>1429.8944612730988</v>
      </c>
      <c r="AL30">
        <f t="shared" si="35"/>
        <v>17</v>
      </c>
      <c r="AM30" s="10">
        <f t="shared" si="24"/>
        <v>2317.9344202368193</v>
      </c>
      <c r="AN30" s="10">
        <f t="shared" si="12"/>
        <v>40.229653827594575</v>
      </c>
      <c r="AO30" s="130">
        <f t="shared" si="25"/>
        <v>0.009900990099009944</v>
      </c>
      <c r="AP30" s="131">
        <f t="shared" si="4"/>
        <v>0.317334835330131</v>
      </c>
      <c r="AR30" s="132">
        <v>15290.162925843626</v>
      </c>
    </row>
    <row r="31" spans="3:44" ht="12.75">
      <c r="C31" s="10"/>
      <c r="F31" s="8">
        <f>F29+F30</f>
        <v>2063.8563589474184</v>
      </c>
      <c r="J31">
        <f t="shared" si="5"/>
        <v>2026</v>
      </c>
      <c r="K31" s="133">
        <f t="shared" si="26"/>
        <v>6135.876499512011</v>
      </c>
      <c r="L31" s="119">
        <f t="shared" si="14"/>
        <v>6040.433409219799</v>
      </c>
      <c r="M31" s="10">
        <f t="shared" si="16"/>
        <v>1930.9332450403474</v>
      </c>
      <c r="N31" s="143">
        <f t="shared" si="17"/>
        <v>-111.34219111440419</v>
      </c>
      <c r="O31" s="10">
        <f t="shared" si="32"/>
        <v>996.183767642587</v>
      </c>
      <c r="P31" s="10">
        <f t="shared" si="32"/>
        <v>767.6116561222628</v>
      </c>
      <c r="Q31" s="121">
        <f t="shared" si="15"/>
        <v>425.4522841881156</v>
      </c>
      <c r="R31" s="122">
        <f t="shared" si="31"/>
        <v>0.02800000000000001</v>
      </c>
      <c r="S31" s="10">
        <f t="shared" si="19"/>
        <v>1548.518361798657</v>
      </c>
      <c r="T31" s="10">
        <f t="shared" si="19"/>
        <v>644.4349444517889</v>
      </c>
      <c r="U31" s="123">
        <f t="shared" si="19"/>
        <v>-161.38665890955562</v>
      </c>
      <c r="V31" s="124">
        <f t="shared" si="7"/>
        <v>95.44309029221222</v>
      </c>
      <c r="W31" s="125">
        <f t="shared" si="13"/>
        <v>15194.713456380317</v>
      </c>
      <c r="X31">
        <f t="shared" si="27"/>
        <v>32617.115625681523</v>
      </c>
      <c r="Y31" s="16">
        <f t="shared" si="1"/>
        <v>0.18811830481665417</v>
      </c>
      <c r="Z31" s="16">
        <f t="shared" si="2"/>
        <v>0.18519213895369038</v>
      </c>
      <c r="AA31" s="136">
        <f t="shared" si="8"/>
        <v>0.4658509241208489</v>
      </c>
      <c r="AB31" s="15">
        <f t="shared" si="9"/>
        <v>4658.509241208489</v>
      </c>
      <c r="AC31" s="127">
        <f t="shared" si="10"/>
        <v>0.05578638757662752</v>
      </c>
      <c r="AD31" s="16">
        <f t="shared" si="20"/>
        <v>0.05920000000000004</v>
      </c>
      <c r="AE31" s="128">
        <f t="shared" si="28"/>
        <v>0.4357735755332797</v>
      </c>
      <c r="AF31" s="129">
        <f t="shared" si="21"/>
        <v>2578.575803074492</v>
      </c>
      <c r="AG31" s="8">
        <f t="shared" si="29"/>
        <v>1646.753824307333</v>
      </c>
      <c r="AH31" s="8">
        <f t="shared" si="30"/>
        <v>4225.329627381825</v>
      </c>
      <c r="AI31" s="10">
        <f t="shared" si="22"/>
        <v>4183.494680576065</v>
      </c>
      <c r="AJ31" s="121">
        <f t="shared" si="34"/>
        <v>269.7526438057502</v>
      </c>
      <c r="AK31" s="10">
        <f t="shared" si="33"/>
        <v>1487.0902397240225</v>
      </c>
      <c r="AL31">
        <f t="shared" si="35"/>
        <v>16</v>
      </c>
      <c r="AM31" s="10">
        <f t="shared" si="24"/>
        <v>2410.6517970462914</v>
      </c>
      <c r="AN31" s="10">
        <f t="shared" si="12"/>
        <v>41.83494680576041</v>
      </c>
      <c r="AO31" s="130">
        <f t="shared" si="25"/>
        <v>0.009900990099009846</v>
      </c>
      <c r="AP31" s="131">
        <f t="shared" si="4"/>
        <v>0.3134528573012727</v>
      </c>
      <c r="AR31" s="132">
        <v>15194.724435289836</v>
      </c>
    </row>
    <row r="32" spans="9:44" ht="12.75">
      <c r="I32" s="16"/>
      <c r="J32">
        <f t="shared" si="5"/>
        <v>2027</v>
      </c>
      <c r="K32" s="133">
        <f t="shared" si="26"/>
        <v>6473.349706985171</v>
      </c>
      <c r="L32" s="119">
        <f t="shared" si="14"/>
        <v>6300.920260493308</v>
      </c>
      <c r="M32" s="10">
        <f t="shared" si="16"/>
        <v>2057.7812077086232</v>
      </c>
      <c r="N32" s="143">
        <f t="shared" si="17"/>
        <v>-142.6610471337236</v>
      </c>
      <c r="O32" s="10">
        <f t="shared" si="32"/>
        <v>1041.0120371865032</v>
      </c>
      <c r="P32" s="10">
        <f t="shared" si="32"/>
        <v>790.6400058059306</v>
      </c>
      <c r="Q32" s="121">
        <f t="shared" si="15"/>
        <v>435.64676908554685</v>
      </c>
      <c r="R32" s="122">
        <f t="shared" si="31"/>
        <v>0.029000000000000012</v>
      </c>
      <c r="S32" s="10">
        <f t="shared" si="19"/>
        <v>1610.459096270603</v>
      </c>
      <c r="T32" s="10">
        <f t="shared" si="19"/>
        <v>673.4345169521193</v>
      </c>
      <c r="U32" s="123">
        <f t="shared" si="19"/>
        <v>-165.4213253822945</v>
      </c>
      <c r="V32" s="124">
        <f t="shared" si="7"/>
        <v>172.42944649186302</v>
      </c>
      <c r="W32" s="125">
        <f t="shared" si="13"/>
        <v>15022.284009888455</v>
      </c>
      <c r="X32">
        <f t="shared" si="27"/>
        <v>34411.05698509401</v>
      </c>
      <c r="Y32" s="16">
        <f t="shared" si="1"/>
        <v>0.18811830481665417</v>
      </c>
      <c r="Z32" s="16">
        <f t="shared" si="2"/>
        <v>0.18310743152187117</v>
      </c>
      <c r="AA32" s="136">
        <f t="shared" si="8"/>
        <v>0.43655398369180365</v>
      </c>
      <c r="AB32" s="15">
        <f t="shared" si="9"/>
        <v>4365.539836918037</v>
      </c>
      <c r="AC32" s="127">
        <f t="shared" si="10"/>
        <v>0.055654209093445775</v>
      </c>
      <c r="AD32" s="16">
        <f t="shared" si="20"/>
        <v>0.05980000000000004</v>
      </c>
      <c r="AE32" s="128">
        <f t="shared" si="28"/>
        <v>0.4321685169092024</v>
      </c>
      <c r="AF32" s="129">
        <f t="shared" si="21"/>
        <v>2697.8922242917633</v>
      </c>
      <c r="AG32" s="8">
        <f t="shared" si="29"/>
        <v>1696.1564390365527</v>
      </c>
      <c r="AH32" s="8">
        <f t="shared" si="30"/>
        <v>4394.048663328316</v>
      </c>
      <c r="AI32" s="10">
        <f t="shared" si="22"/>
        <v>4350.543231018135</v>
      </c>
      <c r="AJ32" s="121">
        <f t="shared" si="34"/>
        <v>281.8915127770089</v>
      </c>
      <c r="AK32" s="10">
        <f t="shared" si="33"/>
        <v>1546.5738493129832</v>
      </c>
      <c r="AL32">
        <f t="shared" si="35"/>
        <v>15</v>
      </c>
      <c r="AM32" s="10">
        <f t="shared" si="24"/>
        <v>2507.077868928143</v>
      </c>
      <c r="AN32" s="10">
        <f t="shared" si="12"/>
        <v>43.50543231018128</v>
      </c>
      <c r="AO32" s="130">
        <f t="shared" si="25"/>
        <v>0.009900990099009884</v>
      </c>
      <c r="AP32" s="131">
        <f t="shared" si="4"/>
        <v>0.30953607429511354</v>
      </c>
      <c r="AR32" s="132">
        <v>15022.30238226023</v>
      </c>
    </row>
    <row r="33" spans="2:44" ht="12.75">
      <c r="B33" s="7" t="s">
        <v>198</v>
      </c>
      <c r="F33" s="145" t="s">
        <v>36</v>
      </c>
      <c r="G33" t="s">
        <v>26</v>
      </c>
      <c r="I33" s="16"/>
      <c r="J33">
        <f t="shared" si="5"/>
        <v>2028</v>
      </c>
      <c r="K33" s="133">
        <f t="shared" si="26"/>
        <v>6829.383940869355</v>
      </c>
      <c r="L33" s="119">
        <f t="shared" si="14"/>
        <v>6569.3189438742</v>
      </c>
      <c r="M33" s="10">
        <f t="shared" si="16"/>
        <v>2192.741373204162</v>
      </c>
      <c r="N33" s="143">
        <f t="shared" si="17"/>
        <v>-177.5963561340992</v>
      </c>
      <c r="O33" s="10">
        <f t="shared" si="32"/>
        <v>1087.8575788598957</v>
      </c>
      <c r="P33" s="10">
        <f t="shared" si="32"/>
        <v>814.3592059801084</v>
      </c>
      <c r="Q33" s="121">
        <f t="shared" si="15"/>
        <v>442.8674701445949</v>
      </c>
      <c r="R33" s="122">
        <f t="shared" si="31"/>
        <v>0.030000000000000013</v>
      </c>
      <c r="S33" s="10">
        <f t="shared" si="19"/>
        <v>1674.8774601214268</v>
      </c>
      <c r="T33" s="10">
        <f t="shared" si="19"/>
        <v>703.7390702149646</v>
      </c>
      <c r="U33" s="123">
        <f t="shared" si="19"/>
        <v>-169.55685851685183</v>
      </c>
      <c r="V33" s="124">
        <f t="shared" si="7"/>
        <v>260.0649969951546</v>
      </c>
      <c r="W33" s="125">
        <f t="shared" si="13"/>
        <v>14762.2190128933</v>
      </c>
      <c r="X33">
        <f t="shared" si="27"/>
        <v>36303.66511927418</v>
      </c>
      <c r="Y33" s="16">
        <f t="shared" si="1"/>
        <v>0.18811830481665415</v>
      </c>
      <c r="Z33" s="16">
        <f t="shared" si="2"/>
        <v>0.18095470312132333</v>
      </c>
      <c r="AA33" s="136">
        <f t="shared" si="8"/>
        <v>0.4066316435101703</v>
      </c>
      <c r="AB33" s="15">
        <f t="shared" si="9"/>
        <v>4066.3164351017026</v>
      </c>
      <c r="AC33" s="127">
        <f t="shared" si="10"/>
        <v>0.05550803232812411</v>
      </c>
      <c r="AD33" s="16">
        <f t="shared" si="20"/>
        <v>0.060400000000000044</v>
      </c>
      <c r="AE33" s="128">
        <f t="shared" si="28"/>
        <v>0.42857010412972973</v>
      </c>
      <c r="AF33" s="129">
        <f t="shared" si="21"/>
        <v>2822.577029793323</v>
      </c>
      <c r="AG33" s="8">
        <f t="shared" si="29"/>
        <v>1747.0411322076488</v>
      </c>
      <c r="AH33" s="8">
        <f t="shared" si="30"/>
        <v>4569.618162000972</v>
      </c>
      <c r="AI33" s="10">
        <f t="shared" si="22"/>
        <v>4524.374417822744</v>
      </c>
      <c r="AJ33" s="121">
        <f t="shared" si="34"/>
        <v>294.5766308519743</v>
      </c>
      <c r="AK33" s="10">
        <f t="shared" si="33"/>
        <v>1608.4368032855023</v>
      </c>
      <c r="AL33">
        <f t="shared" si="35"/>
        <v>14</v>
      </c>
      <c r="AM33" s="10">
        <f t="shared" si="24"/>
        <v>2607.360983685268</v>
      </c>
      <c r="AN33" s="10">
        <f t="shared" si="12"/>
        <v>45.243744178227644</v>
      </c>
      <c r="AO33" s="130">
        <f t="shared" si="25"/>
        <v>0.009900990099009944</v>
      </c>
      <c r="AP33" s="131">
        <f t="shared" si="4"/>
        <v>0.30558053368025173</v>
      </c>
      <c r="AR33" s="132">
        <v>14762.249004819823</v>
      </c>
    </row>
    <row r="34" spans="2:44" ht="12.75">
      <c r="B34" t="s">
        <v>33</v>
      </c>
      <c r="F34" s="146">
        <v>3.716</v>
      </c>
      <c r="G34" t="s">
        <v>115</v>
      </c>
      <c r="H34" s="147">
        <f>F35*F36*1000/68000</f>
        <v>0.7688275862068967</v>
      </c>
      <c r="I34" s="16"/>
      <c r="J34">
        <f t="shared" si="5"/>
        <v>2029</v>
      </c>
      <c r="K34" s="133">
        <f t="shared" si="26"/>
        <v>7205.000057617169</v>
      </c>
      <c r="L34" s="119">
        <f t="shared" si="14"/>
        <v>6850.90859159311</v>
      </c>
      <c r="M34" s="10">
        <f t="shared" si="16"/>
        <v>2336.322368750891</v>
      </c>
      <c r="N34" s="143">
        <f t="shared" si="17"/>
        <v>-211.18347476024138</v>
      </c>
      <c r="O34" s="10">
        <f t="shared" si="32"/>
        <v>1136.811169908591</v>
      </c>
      <c r="P34" s="10">
        <f t="shared" si="32"/>
        <v>838.7899821595115</v>
      </c>
      <c r="Q34" s="121">
        <f t="shared" si="15"/>
        <v>446.6534386132096</v>
      </c>
      <c r="R34" s="122">
        <f t="shared" si="31"/>
        <v>0.031000000000000014</v>
      </c>
      <c r="S34" s="10">
        <f t="shared" si="19"/>
        <v>1741.8725585262835</v>
      </c>
      <c r="T34" s="10">
        <f t="shared" si="19"/>
        <v>735.4073283746379</v>
      </c>
      <c r="U34" s="123">
        <f t="shared" si="19"/>
        <v>-173.7957799797731</v>
      </c>
      <c r="V34" s="124">
        <f t="shared" si="7"/>
        <v>354.0914660240587</v>
      </c>
      <c r="W34" s="125">
        <f t="shared" si="13"/>
        <v>14408.12754686924</v>
      </c>
      <c r="X34">
        <f t="shared" si="27"/>
        <v>38300.36670083425</v>
      </c>
      <c r="Y34" s="16">
        <f t="shared" si="1"/>
        <v>0.18811830481665415</v>
      </c>
      <c r="Z34" s="16">
        <f t="shared" si="2"/>
        <v>0.178873185343259</v>
      </c>
      <c r="AA34" s="136">
        <f t="shared" si="8"/>
        <v>0.3761877179770032</v>
      </c>
      <c r="AB34" s="15">
        <f t="shared" si="9"/>
        <v>3761.877179770032</v>
      </c>
      <c r="AC34" s="127">
        <f t="shared" si="10"/>
        <v>0.055486123947329206</v>
      </c>
      <c r="AD34" s="16">
        <f t="shared" si="20"/>
        <v>0.06100000000000005</v>
      </c>
      <c r="AE34" s="128">
        <f t="shared" si="28"/>
        <v>0.4249783828580819</v>
      </c>
      <c r="AF34" s="129">
        <f t="shared" si="21"/>
        <v>2952.8625342929354</v>
      </c>
      <c r="AG34" s="8">
        <f t="shared" si="29"/>
        <v>1799.4523661738779</v>
      </c>
      <c r="AH34" s="8">
        <f t="shared" si="30"/>
        <v>4752.314900466813</v>
      </c>
      <c r="AI34" s="10">
        <f t="shared" si="22"/>
        <v>4705.262277689913</v>
      </c>
      <c r="AJ34" s="121">
        <f t="shared" si="34"/>
        <v>307.8325792403131</v>
      </c>
      <c r="AK34" s="10">
        <f t="shared" si="33"/>
        <v>1672.7742754169221</v>
      </c>
      <c r="AL34">
        <f t="shared" si="35"/>
        <v>13</v>
      </c>
      <c r="AM34" s="10">
        <f t="shared" si="24"/>
        <v>2711.6554230326783</v>
      </c>
      <c r="AN34" s="10">
        <f t="shared" si="12"/>
        <v>47.052622776899625</v>
      </c>
      <c r="AO34" s="130">
        <f t="shared" si="25"/>
        <v>0.009900990099010003</v>
      </c>
      <c r="AP34" s="131">
        <f t="shared" si="4"/>
        <v>0.3017248100925182</v>
      </c>
      <c r="AR34" s="132">
        <v>14408.175439135786</v>
      </c>
    </row>
    <row r="35" spans="2:44" ht="12.75">
      <c r="B35" t="s">
        <v>28</v>
      </c>
      <c r="F35" s="146">
        <f>F34*68/58</f>
        <v>4.356689655172414</v>
      </c>
      <c r="G35" t="s">
        <v>27</v>
      </c>
      <c r="I35" s="16"/>
      <c r="J35">
        <f t="shared" si="5"/>
        <v>2030</v>
      </c>
      <c r="K35" s="133">
        <f t="shared" si="26"/>
        <v>7601.275060786113</v>
      </c>
      <c r="L35" s="119">
        <f t="shared" si="14"/>
        <v>7140.870910223543</v>
      </c>
      <c r="M35" s="10">
        <f t="shared" si="16"/>
        <v>2489.064231153818</v>
      </c>
      <c r="N35" s="143">
        <f t="shared" si="17"/>
        <v>-248.38366772846155</v>
      </c>
      <c r="O35" s="10">
        <f t="shared" si="32"/>
        <v>1187.9676725544775</v>
      </c>
      <c r="P35" s="10">
        <f t="shared" si="32"/>
        <v>863.9536816242967</v>
      </c>
      <c r="Q35" s="121">
        <f t="shared" si="15"/>
        <v>446.32954807984987</v>
      </c>
      <c r="R35" s="122">
        <f t="shared" si="31"/>
        <v>0.032000000000000015</v>
      </c>
      <c r="S35" s="10">
        <f t="shared" si="19"/>
        <v>1811.5474608673344</v>
      </c>
      <c r="T35" s="10">
        <f t="shared" si="19"/>
        <v>768.5006581514966</v>
      </c>
      <c r="U35" s="123">
        <f t="shared" si="19"/>
        <v>-178.1406744792674</v>
      </c>
      <c r="V35" s="124">
        <f t="shared" si="7"/>
        <v>460.40415056256916</v>
      </c>
      <c r="W35" s="125">
        <f t="shared" si="13"/>
        <v>13947.723396306672</v>
      </c>
      <c r="X35">
        <f t="shared" si="27"/>
        <v>40406.886869380134</v>
      </c>
      <c r="Y35" s="16">
        <f t="shared" si="1"/>
        <v>0.18811830481665415</v>
      </c>
      <c r="Z35" s="16">
        <f t="shared" si="2"/>
        <v>0.1767241048118164</v>
      </c>
      <c r="AA35" s="136">
        <f t="shared" si="8"/>
        <v>0.3451818359923217</v>
      </c>
      <c r="AB35" s="15">
        <f t="shared" si="9"/>
        <v>3451.818359923217</v>
      </c>
      <c r="AC35" s="127">
        <f t="shared" si="10"/>
        <v>0.055452937284394405</v>
      </c>
      <c r="AD35" s="16">
        <f t="shared" si="20"/>
        <v>0.06160000000000005</v>
      </c>
      <c r="AE35" s="128">
        <f t="shared" si="28"/>
        <v>0.42139345043075543</v>
      </c>
      <c r="AF35" s="129">
        <f t="shared" si="21"/>
        <v>3088.990913851554</v>
      </c>
      <c r="AG35" s="8">
        <f t="shared" si="29"/>
        <v>1853.4359371590938</v>
      </c>
      <c r="AH35" s="8">
        <f t="shared" si="30"/>
        <v>4942.426851010648</v>
      </c>
      <c r="AI35" s="10">
        <f t="shared" si="22"/>
        <v>4893.49193169371</v>
      </c>
      <c r="AJ35" s="121">
        <f t="shared" si="34"/>
        <v>321.68504530612717</v>
      </c>
      <c r="AK35" s="10">
        <f t="shared" si="33"/>
        <v>1739.6852464335986</v>
      </c>
      <c r="AL35">
        <f t="shared" si="35"/>
        <v>12</v>
      </c>
      <c r="AM35" s="10">
        <f t="shared" si="24"/>
        <v>2820.121639953985</v>
      </c>
      <c r="AN35" s="10">
        <f t="shared" si="12"/>
        <v>48.93491931693734</v>
      </c>
      <c r="AO35" s="130">
        <f t="shared" si="25"/>
        <v>0.009900990099009948</v>
      </c>
      <c r="AP35" s="131">
        <f t="shared" si="4"/>
        <v>0.29782949824419047</v>
      </c>
      <c r="AR35" s="132">
        <v>13947.798377495303</v>
      </c>
    </row>
    <row r="36" spans="2:44" ht="12.75">
      <c r="B36" t="s">
        <v>34</v>
      </c>
      <c r="F36" s="148">
        <v>12</v>
      </c>
      <c r="G36" t="s">
        <v>115</v>
      </c>
      <c r="H36" s="147">
        <f>F34*11.7/58.6</f>
        <v>0.7419317406143344</v>
      </c>
      <c r="I36" s="16"/>
      <c r="J36">
        <f t="shared" si="5"/>
        <v>2031</v>
      </c>
      <c r="K36" s="133">
        <f t="shared" si="26"/>
        <v>8019.345189129348</v>
      </c>
      <c r="L36" s="119">
        <f t="shared" si="14"/>
        <v>7438.978943730768</v>
      </c>
      <c r="M36" s="10">
        <f t="shared" si="16"/>
        <v>2651.540323255596</v>
      </c>
      <c r="N36" s="143">
        <f t="shared" si="17"/>
        <v>-289.5178367974223</v>
      </c>
      <c r="O36" s="10">
        <f t="shared" si="32"/>
        <v>1241.426217819429</v>
      </c>
      <c r="P36" s="10">
        <f t="shared" si="32"/>
        <v>889.8722920730254</v>
      </c>
      <c r="Q36" s="121">
        <f t="shared" si="15"/>
        <v>441.12659165104725</v>
      </c>
      <c r="R36" s="122">
        <f t="shared" si="31"/>
        <v>0.033000000000000015</v>
      </c>
      <c r="S36" s="10">
        <f t="shared" si="19"/>
        <v>1884.0093593020274</v>
      </c>
      <c r="T36" s="10">
        <f t="shared" si="19"/>
        <v>803.0831877683139</v>
      </c>
      <c r="U36" s="123">
        <f t="shared" si="19"/>
        <v>-182.5941913412491</v>
      </c>
      <c r="V36" s="124">
        <f t="shared" si="7"/>
        <v>580.3662453985798</v>
      </c>
      <c r="W36" s="125">
        <f t="shared" si="13"/>
        <v>13367.357150908092</v>
      </c>
      <c r="X36">
        <f t="shared" si="27"/>
        <v>42629.265647196036</v>
      </c>
      <c r="Y36" s="16">
        <f t="shared" si="1"/>
        <v>0.18811830481665417</v>
      </c>
      <c r="Z36" s="16">
        <f t="shared" si="2"/>
        <v>0.1745040368580703</v>
      </c>
      <c r="AA36" s="136">
        <f t="shared" si="8"/>
        <v>0.3135723064417212</v>
      </c>
      <c r="AB36" s="15">
        <f t="shared" si="9"/>
        <v>3135.723064417212</v>
      </c>
      <c r="AC36" s="127">
        <f t="shared" si="10"/>
        <v>0.05540847233931971</v>
      </c>
      <c r="AD36" s="16">
        <f t="shared" si="20"/>
        <v>0.062200000000000054</v>
      </c>
      <c r="AE36" s="128">
        <f t="shared" si="28"/>
        <v>0.4178154505199214</v>
      </c>
      <c r="AF36" s="129">
        <f t="shared" si="21"/>
        <v>3231.214619256002</v>
      </c>
      <c r="AG36" s="8">
        <f t="shared" si="29"/>
        <v>1909.0390152738662</v>
      </c>
      <c r="AH36" s="8">
        <f t="shared" si="30"/>
        <v>5140.253634529869</v>
      </c>
      <c r="AI36" s="10">
        <f t="shared" si="22"/>
        <v>5089.360034187988</v>
      </c>
      <c r="AJ36" s="121">
        <f t="shared" si="34"/>
        <v>336.1608723449029</v>
      </c>
      <c r="AK36" s="10">
        <f t="shared" si="33"/>
        <v>1809.2726562909422</v>
      </c>
      <c r="AL36">
        <f t="shared" si="35"/>
        <v>11</v>
      </c>
      <c r="AM36" s="10">
        <f t="shared" si="24"/>
        <v>2932.9265055521437</v>
      </c>
      <c r="AN36" s="10">
        <f t="shared" si="12"/>
        <v>50.8936003418803</v>
      </c>
      <c r="AO36" s="130">
        <f t="shared" si="25"/>
        <v>0.009900990099009981</v>
      </c>
      <c r="AP36" s="131">
        <f t="shared" si="4"/>
        <v>0.2938905652657616</v>
      </c>
      <c r="AR36" s="132">
        <v>13367.472474274153</v>
      </c>
    </row>
    <row r="37" spans="1:44" ht="12.75">
      <c r="A37" s="13">
        <v>8</v>
      </c>
      <c r="B37" t="s">
        <v>35</v>
      </c>
      <c r="F37" s="149">
        <f>((F35*F36*1000)-(E68*F36))*1000</f>
        <v>41288275.86206898</v>
      </c>
      <c r="I37" s="16"/>
      <c r="J37">
        <f t="shared" si="5"/>
        <v>2032</v>
      </c>
      <c r="K37" s="133">
        <f t="shared" si="26"/>
        <v>8460.409174531462</v>
      </c>
      <c r="L37" s="119">
        <f t="shared" si="14"/>
        <v>7744.921715298078</v>
      </c>
      <c r="M37" s="10">
        <f t="shared" si="16"/>
        <v>2824.3593661893283</v>
      </c>
      <c r="N37" s="143">
        <f t="shared" si="17"/>
        <v>-334.9326319231723</v>
      </c>
      <c r="O37" s="10">
        <f t="shared" si="32"/>
        <v>1297.290397621303</v>
      </c>
      <c r="P37" s="10">
        <f t="shared" si="32"/>
        <v>916.568460835216</v>
      </c>
      <c r="Q37" s="121">
        <f t="shared" si="15"/>
        <v>430.16950380818923</v>
      </c>
      <c r="R37" s="122">
        <f t="shared" si="31"/>
        <v>0.034000000000000016</v>
      </c>
      <c r="S37" s="10">
        <f t="shared" si="19"/>
        <v>1959.3697336741081</v>
      </c>
      <c r="T37" s="10">
        <f t="shared" si="19"/>
        <v>839.221931217888</v>
      </c>
      <c r="U37" s="123">
        <f t="shared" si="19"/>
        <v>-187.1590461247803</v>
      </c>
      <c r="V37" s="124">
        <f t="shared" si="7"/>
        <v>715.4874592333836</v>
      </c>
      <c r="W37" s="125">
        <f t="shared" si="13"/>
        <v>12651.869691674709</v>
      </c>
      <c r="X37">
        <f t="shared" si="27"/>
        <v>44973.87525779181</v>
      </c>
      <c r="Y37" s="16">
        <f t="shared" si="1"/>
        <v>0.18811830481665417</v>
      </c>
      <c r="Z37" s="16">
        <f t="shared" si="2"/>
        <v>0.1722093475579749</v>
      </c>
      <c r="AA37" s="136">
        <f t="shared" si="8"/>
        <v>0.2813159777571702</v>
      </c>
      <c r="AB37" s="15">
        <f t="shared" si="9"/>
        <v>2813.1597775717023</v>
      </c>
      <c r="AC37" s="127">
        <f t="shared" si="10"/>
        <v>0.0553527291121051</v>
      </c>
      <c r="AD37" s="16">
        <f t="shared" si="20"/>
        <v>0.06280000000000005</v>
      </c>
      <c r="AE37" s="128">
        <f t="shared" si="28"/>
        <v>0.41424456818071326</v>
      </c>
      <c r="AF37" s="129">
        <f t="shared" si="21"/>
        <v>3379.7968065843224</v>
      </c>
      <c r="AG37" s="8">
        <f t="shared" si="29"/>
        <v>1966.310185732082</v>
      </c>
      <c r="AH37" s="8">
        <f t="shared" si="30"/>
        <v>5346.106992316404</v>
      </c>
      <c r="AI37" s="10">
        <f t="shared" si="22"/>
        <v>5293.175239917232</v>
      </c>
      <c r="AJ37" s="121">
        <f t="shared" si="34"/>
        <v>351.28811160042346</v>
      </c>
      <c r="AK37" s="10">
        <f t="shared" si="33"/>
        <v>1881.6435625425795</v>
      </c>
      <c r="AL37">
        <f t="shared" si="35"/>
        <v>10</v>
      </c>
      <c r="AM37" s="10">
        <f t="shared" si="24"/>
        <v>3050.243565774229</v>
      </c>
      <c r="AN37" s="10">
        <f t="shared" si="12"/>
        <v>52.93175239917218</v>
      </c>
      <c r="AO37" s="130">
        <f t="shared" si="25"/>
        <v>0.009900990099009875</v>
      </c>
      <c r="AP37" s="131">
        <f t="shared" si="4"/>
        <v>0.28990379148962564</v>
      </c>
      <c r="AR37" s="132">
        <v>12652.044229652618</v>
      </c>
    </row>
    <row r="38" spans="2:44" ht="12.75">
      <c r="B38" t="s">
        <v>199</v>
      </c>
      <c r="E38" s="61">
        <v>0.02</v>
      </c>
      <c r="F38" s="8">
        <f>F37*E38</f>
        <v>825765.5172413796</v>
      </c>
      <c r="I38" s="16"/>
      <c r="J38">
        <f t="shared" si="5"/>
        <v>2033</v>
      </c>
      <c r="K38" s="133">
        <f t="shared" si="26"/>
        <v>8925.731679130691</v>
      </c>
      <c r="L38" s="119">
        <f t="shared" si="14"/>
        <v>8058.2917577107655</v>
      </c>
      <c r="M38" s="10">
        <f t="shared" si="16"/>
        <v>3008.1675943679234</v>
      </c>
      <c r="N38" s="143">
        <f t="shared" si="17"/>
        <v>-385.00238865349934</v>
      </c>
      <c r="O38" s="10">
        <f t="shared" si="32"/>
        <v>1355.6684655142617</v>
      </c>
      <c r="P38" s="10">
        <f t="shared" si="32"/>
        <v>944.0655146602724</v>
      </c>
      <c r="Q38" s="121">
        <f t="shared" si="15"/>
        <v>412.46415295594295</v>
      </c>
      <c r="R38" s="122">
        <f t="shared" si="31"/>
        <v>0.03500000000000002</v>
      </c>
      <c r="S38" s="10">
        <f t="shared" si="19"/>
        <v>2037.7445230210722</v>
      </c>
      <c r="T38" s="10">
        <f t="shared" si="19"/>
        <v>876.9869181226929</v>
      </c>
      <c r="U38" s="123">
        <f t="shared" si="19"/>
        <v>-191.8380222778998</v>
      </c>
      <c r="V38" s="124">
        <f t="shared" si="7"/>
        <v>867.4399214199257</v>
      </c>
      <c r="W38" s="125">
        <f t="shared" si="13"/>
        <v>11784.429770254783</v>
      </c>
      <c r="X38">
        <f t="shared" si="27"/>
        <v>47447.43839697036</v>
      </c>
      <c r="Y38" s="16">
        <f t="shared" si="1"/>
        <v>0.18811830481665415</v>
      </c>
      <c r="Z38" s="16">
        <f t="shared" si="2"/>
        <v>0.16983618146654905</v>
      </c>
      <c r="AA38" s="136">
        <f t="shared" si="8"/>
        <v>0.24836809253346853</v>
      </c>
      <c r="AB38" s="15">
        <f t="shared" si="9"/>
        <v>2483.6809253346855</v>
      </c>
      <c r="AC38" s="127">
        <f t="shared" si="10"/>
        <v>0.05528570760275057</v>
      </c>
      <c r="AD38" s="16">
        <f t="shared" si="20"/>
        <v>0.06340000000000005</v>
      </c>
      <c r="AE38" s="128">
        <f t="shared" si="28"/>
        <v>0.41068102525890016</v>
      </c>
      <c r="AF38" s="129">
        <f t="shared" si="21"/>
        <v>3535.0117856685974</v>
      </c>
      <c r="AG38" s="8">
        <f t="shared" si="29"/>
        <v>2025.299491304044</v>
      </c>
      <c r="AH38" s="8">
        <f t="shared" si="30"/>
        <v>5560.311276972641</v>
      </c>
      <c r="AI38" s="10">
        <f t="shared" si="22"/>
        <v>5505.258690071922</v>
      </c>
      <c r="AJ38" s="121">
        <f t="shared" si="34"/>
        <v>367.09607662244247</v>
      </c>
      <c r="AK38" s="10">
        <f t="shared" si="33"/>
        <v>1956.9093050442823</v>
      </c>
      <c r="AL38">
        <f t="shared" si="35"/>
        <v>9</v>
      </c>
      <c r="AM38" s="10">
        <f t="shared" si="24"/>
        <v>3172.2533084051975</v>
      </c>
      <c r="AN38" s="10">
        <f t="shared" si="12"/>
        <v>55.05258690071969</v>
      </c>
      <c r="AO38" s="130">
        <f t="shared" si="25"/>
        <v>0.009900990099009984</v>
      </c>
      <c r="AP38" s="131">
        <f t="shared" si="4"/>
        <v>0.28586475700337816</v>
      </c>
      <c r="AR38" s="132">
        <v>11784.690084455508</v>
      </c>
    </row>
    <row r="39" spans="9:44" ht="12.75">
      <c r="I39" s="16"/>
      <c r="J39">
        <f t="shared" si="5"/>
        <v>2034</v>
      </c>
      <c r="K39" s="133">
        <f t="shared" si="26"/>
        <v>9416.64692148288</v>
      </c>
      <c r="L39" s="119">
        <f t="shared" si="14"/>
        <v>8409.805217435523</v>
      </c>
      <c r="M39" s="10">
        <f t="shared" si="16"/>
        <v>3203.6510405634413</v>
      </c>
      <c r="N39" s="64">
        <f t="shared" si="17"/>
        <v>-410.02147132309585</v>
      </c>
      <c r="O39" s="10">
        <f t="shared" si="32"/>
        <v>1416.6735464624035</v>
      </c>
      <c r="P39" s="10">
        <f t="shared" si="32"/>
        <v>972.3874801000803</v>
      </c>
      <c r="Q39" s="121">
        <f t="shared" si="15"/>
        <v>388.0069610874126</v>
      </c>
      <c r="R39" s="122">
        <f t="shared" si="31"/>
        <v>0.03600000000000002</v>
      </c>
      <c r="S39" s="10">
        <f t="shared" si="19"/>
        <v>2119.2543039419147</v>
      </c>
      <c r="T39" s="10">
        <f t="shared" si="19"/>
        <v>916.4513294382141</v>
      </c>
      <c r="U39" s="123">
        <f t="shared" si="19"/>
        <v>-196.63397283484727</v>
      </c>
      <c r="V39" s="124">
        <f t="shared" si="7"/>
        <v>1006.841704047356</v>
      </c>
      <c r="W39" s="125">
        <f t="shared" si="13"/>
        <v>10777.588066207427</v>
      </c>
      <c r="X39">
        <f t="shared" si="27"/>
        <v>50057.04750880373</v>
      </c>
      <c r="Y39" s="16">
        <f t="shared" si="1"/>
        <v>0.18811830481665417</v>
      </c>
      <c r="Z39" s="16">
        <f t="shared" si="2"/>
        <v>0.16800441967649926</v>
      </c>
      <c r="AA39" s="136">
        <f t="shared" si="8"/>
        <v>0.2153061077825641</v>
      </c>
      <c r="AB39" s="15">
        <f t="shared" si="9"/>
        <v>2153.061077825641</v>
      </c>
      <c r="AC39" s="127">
        <f t="shared" si="10"/>
        <v>0.05580891619205106</v>
      </c>
      <c r="AD39" s="16">
        <f t="shared" si="20"/>
        <v>0.06400000000000006</v>
      </c>
      <c r="AE39" s="128">
        <f t="shared" si="28"/>
        <v>0.4071250761359189</v>
      </c>
      <c r="AF39" s="129">
        <f t="shared" si="21"/>
        <v>3697.1454871953247</v>
      </c>
      <c r="AG39" s="8">
        <f t="shared" si="29"/>
        <v>2086.058476043165</v>
      </c>
      <c r="AH39" s="8">
        <f t="shared" si="30"/>
        <v>5783.203963238489</v>
      </c>
      <c r="AI39" s="10">
        <f t="shared" si="22"/>
        <v>5725.9445180579105</v>
      </c>
      <c r="AJ39" s="121">
        <f t="shared" si="34"/>
        <v>383.6154000704523</v>
      </c>
      <c r="AK39" s="10">
        <f t="shared" si="33"/>
        <v>2035.1856772460533</v>
      </c>
      <c r="AL39">
        <f t="shared" si="35"/>
        <v>8</v>
      </c>
      <c r="AM39" s="10">
        <f t="shared" si="24"/>
        <v>3299.143440741405</v>
      </c>
      <c r="AN39" s="10">
        <f t="shared" si="12"/>
        <v>57.25944518057895</v>
      </c>
      <c r="AO39" s="130">
        <f t="shared" si="25"/>
        <v>0.009900990099009875</v>
      </c>
      <c r="AP39" s="131">
        <f t="shared" si="4"/>
        <v>0.2823927985965877</v>
      </c>
      <c r="AR39" s="132">
        <v>10777.971141317012</v>
      </c>
    </row>
    <row r="40" spans="2:44" ht="12.75">
      <c r="B40" s="24" t="s">
        <v>10</v>
      </c>
      <c r="C40" s="15"/>
      <c r="D40" s="16"/>
      <c r="F40"/>
      <c r="G40" s="150" t="s">
        <v>141</v>
      </c>
      <c r="I40" s="16"/>
      <c r="J40">
        <f t="shared" si="5"/>
        <v>2035</v>
      </c>
      <c r="K40" s="133">
        <f t="shared" si="26"/>
        <v>9934.562502164437</v>
      </c>
      <c r="L40" s="119">
        <f t="shared" si="14"/>
        <v>8732.25876276526</v>
      </c>
      <c r="M40" s="10">
        <f t="shared" si="16"/>
        <v>3366.6493015139836</v>
      </c>
      <c r="N40" s="64">
        <f t="shared" si="17"/>
        <v>-430.8829153230307</v>
      </c>
      <c r="O40" s="10">
        <f t="shared" si="32"/>
        <v>1480.4238560532115</v>
      </c>
      <c r="P40" s="10">
        <f t="shared" si="32"/>
        <v>1001.5591045030825</v>
      </c>
      <c r="Q40" s="121">
        <f t="shared" si="15"/>
        <v>354.3061228112054</v>
      </c>
      <c r="R40" s="122">
        <f t="shared" si="31"/>
        <v>0.03700000000000002</v>
      </c>
      <c r="S40" s="10">
        <f t="shared" si="19"/>
        <v>2204.024476099591</v>
      </c>
      <c r="T40" s="10">
        <f t="shared" si="19"/>
        <v>957.6916392629337</v>
      </c>
      <c r="U40" s="123">
        <f t="shared" si="19"/>
        <v>-201.54982215571843</v>
      </c>
      <c r="V40" s="124">
        <f t="shared" si="7"/>
        <v>1202.303739399178</v>
      </c>
      <c r="W40" s="125">
        <f t="shared" si="13"/>
        <v>9575.284326808249</v>
      </c>
      <c r="X40">
        <f t="shared" si="27"/>
        <v>52810.18512178793</v>
      </c>
      <c r="Y40" s="16">
        <f t="shared" si="1"/>
        <v>0.18811830481665417</v>
      </c>
      <c r="Z40" s="16">
        <f t="shared" si="2"/>
        <v>0.16535179232239777</v>
      </c>
      <c r="AA40" s="136">
        <f t="shared" si="8"/>
        <v>0.1813151062569892</v>
      </c>
      <c r="AB40" s="15">
        <f t="shared" si="9"/>
        <v>1813.151062569892</v>
      </c>
      <c r="AC40" s="127">
        <f t="shared" si="10"/>
        <v>0.05559091261317586</v>
      </c>
      <c r="AD40" s="16">
        <f>AD39+AD$10</f>
        <v>0.06375000000000006</v>
      </c>
      <c r="AE40" s="128">
        <f t="shared" si="28"/>
        <v>0.4033661602873018</v>
      </c>
      <c r="AF40" s="129">
        <f t="shared" si="21"/>
        <v>3864.4759492139247</v>
      </c>
      <c r="AG40" s="8">
        <f t="shared" si="29"/>
        <v>2148.6402303244595</v>
      </c>
      <c r="AH40" s="8">
        <f t="shared" si="30"/>
        <v>6013.116179538384</v>
      </c>
      <c r="AI40" s="10">
        <f t="shared" si="22"/>
        <v>5953.580375780578</v>
      </c>
      <c r="AJ40" s="121">
        <f t="shared" si="34"/>
        <v>400.87809307362267</v>
      </c>
      <c r="AK40" s="10">
        <f t="shared" si="33"/>
        <v>2116.593104335895</v>
      </c>
      <c r="AL40">
        <v>5</v>
      </c>
      <c r="AM40" s="10">
        <f t="shared" si="24"/>
        <v>3431.1091783710604</v>
      </c>
      <c r="AN40" s="10">
        <f t="shared" si="12"/>
        <v>59.53580375780621</v>
      </c>
      <c r="AO40" s="130">
        <f t="shared" si="25"/>
        <v>0.009900990099009972</v>
      </c>
      <c r="AP40" s="131">
        <f t="shared" si="4"/>
        <v>0.2780872497355987</v>
      </c>
      <c r="AR40" s="132">
        <v>9575.8411570596</v>
      </c>
    </row>
    <row r="41" spans="2:44" ht="12.75">
      <c r="B41" s="14"/>
      <c r="C41" s="151" t="s">
        <v>149</v>
      </c>
      <c r="D41" s="16"/>
      <c r="F41"/>
      <c r="G41" s="150">
        <f>AE19</f>
        <v>0.49525638408050915</v>
      </c>
      <c r="I41" s="16"/>
      <c r="J41">
        <f t="shared" si="5"/>
        <v>2036</v>
      </c>
      <c r="K41" s="133">
        <f t="shared" si="26"/>
        <v>10480.963439783482</v>
      </c>
      <c r="L41" s="119">
        <f t="shared" si="14"/>
        <v>9060.055701686213</v>
      </c>
      <c r="M41" s="10">
        <f t="shared" si="16"/>
        <v>3537.886326771381</v>
      </c>
      <c r="N41" s="64">
        <f t="shared" si="17"/>
        <v>-452.79880321220605</v>
      </c>
      <c r="O41" s="10">
        <f t="shared" si="32"/>
        <v>1547.042929575606</v>
      </c>
      <c r="P41" s="10">
        <f t="shared" si="32"/>
        <v>1031.6058776381747</v>
      </c>
      <c r="Q41" s="121">
        <f t="shared" si="15"/>
        <v>309.89672044952965</v>
      </c>
      <c r="R41" s="122">
        <f t="shared" si="31"/>
        <v>0.03800000000000002</v>
      </c>
      <c r="S41" s="10">
        <f t="shared" si="19"/>
        <v>2292.1854551435745</v>
      </c>
      <c r="T41" s="10">
        <f t="shared" si="19"/>
        <v>1000.7877630297656</v>
      </c>
      <c r="U41" s="123">
        <f t="shared" si="19"/>
        <v>-206.58856770961137</v>
      </c>
      <c r="V41" s="124">
        <f t="shared" si="7"/>
        <v>1420.9077380972685</v>
      </c>
      <c r="W41" s="125">
        <f t="shared" si="13"/>
        <v>8154.37658871098</v>
      </c>
      <c r="X41">
        <f t="shared" si="27"/>
        <v>55714.74530348626</v>
      </c>
      <c r="Y41" s="16">
        <f t="shared" si="1"/>
        <v>0.1881183048166542</v>
      </c>
      <c r="Z41" s="16">
        <f t="shared" si="2"/>
        <v>0.1626150429717444</v>
      </c>
      <c r="AA41" s="136">
        <f t="shared" si="8"/>
        <v>0.1463593981143217</v>
      </c>
      <c r="AB41" s="15">
        <f t="shared" si="9"/>
        <v>1463.593981143217</v>
      </c>
      <c r="AC41" s="127">
        <f t="shared" si="10"/>
        <v>0.05537290903430066</v>
      </c>
      <c r="AD41" s="16">
        <f aca="true" t="shared" si="36" ref="AD41:AD55">AD40+AD$10</f>
        <v>0.06350000000000006</v>
      </c>
      <c r="AE41" s="128">
        <f t="shared" si="28"/>
        <v>0.39993719031995695</v>
      </c>
      <c r="AF41" s="129">
        <f t="shared" si="21"/>
        <v>4042.3638238557464</v>
      </c>
      <c r="AG41" s="8">
        <f t="shared" si="29"/>
        <v>2213.099437234193</v>
      </c>
      <c r="AH41" s="8">
        <f t="shared" si="30"/>
        <v>6255.463261089939</v>
      </c>
      <c r="AI41" s="10">
        <f t="shared" si="22"/>
        <v>6193.527981277168</v>
      </c>
      <c r="AJ41" s="121">
        <f t="shared" si="34"/>
        <v>418.91760726193564</v>
      </c>
      <c r="AK41" s="10">
        <f t="shared" si="33"/>
        <v>2201.2568285093303</v>
      </c>
      <c r="AL41">
        <v>5</v>
      </c>
      <c r="AM41" s="10">
        <f t="shared" si="24"/>
        <v>3568.3535455059023</v>
      </c>
      <c r="AN41" s="10">
        <f t="shared" si="12"/>
        <v>61.935279812771114</v>
      </c>
      <c r="AO41" s="130">
        <f t="shared" si="25"/>
        <v>0.009900990099009811</v>
      </c>
      <c r="AP41" s="131">
        <f t="shared" si="4"/>
        <v>0.27378001281123887</v>
      </c>
      <c r="AR41" s="132">
        <v>8155.176853934987</v>
      </c>
    </row>
    <row r="42" spans="2:44" ht="12.75">
      <c r="B42" s="152" t="s">
        <v>143</v>
      </c>
      <c r="C42" s="153" t="s">
        <v>131</v>
      </c>
      <c r="D42" s="154" t="s">
        <v>142</v>
      </c>
      <c r="E42" s="23" t="s">
        <v>231</v>
      </c>
      <c r="F42" s="155" t="s">
        <v>17</v>
      </c>
      <c r="G42" s="141" t="s">
        <v>130</v>
      </c>
      <c r="I42" s="16"/>
      <c r="J42">
        <f t="shared" si="5"/>
        <v>2037</v>
      </c>
      <c r="K42" s="133">
        <f t="shared" si="26"/>
        <v>11057.416428971572</v>
      </c>
      <c r="L42" s="119">
        <f t="shared" si="14"/>
        <v>9392.273512090022</v>
      </c>
      <c r="M42" s="10">
        <f t="shared" si="16"/>
        <v>3717.775310670012</v>
      </c>
      <c r="N42" s="64">
        <f t="shared" si="17"/>
        <v>-475.8220179503385</v>
      </c>
      <c r="O42" s="10">
        <f t="shared" si="32"/>
        <v>1616.659861406508</v>
      </c>
      <c r="P42" s="10">
        <f t="shared" si="32"/>
        <v>1062.5540539673198</v>
      </c>
      <c r="Q42" s="121">
        <f t="shared" si="15"/>
        <v>253.12450018344916</v>
      </c>
      <c r="R42" s="122">
        <f t="shared" si="31"/>
        <v>0.03900000000000002</v>
      </c>
      <c r="S42" s="10">
        <f t="shared" si="19"/>
        <v>2383.872873349317</v>
      </c>
      <c r="T42" s="10">
        <f t="shared" si="19"/>
        <v>1045.823212366105</v>
      </c>
      <c r="U42" s="123">
        <f t="shared" si="19"/>
        <v>-211.75328190235163</v>
      </c>
      <c r="V42" s="124">
        <f t="shared" si="7"/>
        <v>1665.1429168815503</v>
      </c>
      <c r="W42" s="125">
        <f t="shared" si="13"/>
        <v>6489.23367182943</v>
      </c>
      <c r="X42">
        <f t="shared" si="27"/>
        <v>58779.056295178</v>
      </c>
      <c r="Y42" s="16">
        <f t="shared" si="1"/>
        <v>0.1881183048166542</v>
      </c>
      <c r="Z42" s="16">
        <f t="shared" si="2"/>
        <v>0.15978945740339362</v>
      </c>
      <c r="AA42" s="136">
        <f t="shared" si="8"/>
        <v>0.11040043989889271</v>
      </c>
      <c r="AB42" s="15">
        <f t="shared" si="9"/>
        <v>1104.004398988927</v>
      </c>
      <c r="AC42" s="127">
        <f t="shared" si="10"/>
        <v>0.05515490545542546</v>
      </c>
      <c r="AD42" s="16">
        <f t="shared" si="36"/>
        <v>0.06325000000000006</v>
      </c>
      <c r="AE42" s="128">
        <f t="shared" si="28"/>
        <v>0.3965057427337935</v>
      </c>
      <c r="AF42" s="129">
        <f t="shared" si="21"/>
        <v>4228.102905098991</v>
      </c>
      <c r="AG42" s="8">
        <f t="shared" si="29"/>
        <v>2279.4924203512182</v>
      </c>
      <c r="AH42" s="8">
        <f t="shared" si="30"/>
        <v>6507.595325450209</v>
      </c>
      <c r="AI42" s="10">
        <f t="shared" si="22"/>
        <v>6443.163688564564</v>
      </c>
      <c r="AJ42" s="121">
        <f t="shared" si="34"/>
        <v>437.7688995887227</v>
      </c>
      <c r="AK42" s="10">
        <f t="shared" si="33"/>
        <v>2289.307101649703</v>
      </c>
      <c r="AL42">
        <v>5</v>
      </c>
      <c r="AM42" s="10">
        <f t="shared" si="24"/>
        <v>3711.0876873261377</v>
      </c>
      <c r="AN42" s="10">
        <f t="shared" si="12"/>
        <v>64.43163688564528</v>
      </c>
      <c r="AO42" s="130">
        <f t="shared" si="25"/>
        <v>0.009900990099009846</v>
      </c>
      <c r="AP42" s="131">
        <f t="shared" si="4"/>
        <v>0.26940611501368494</v>
      </c>
      <c r="AR42" s="132">
        <v>6490.371799575616</v>
      </c>
    </row>
    <row r="43" spans="2:44" ht="12.75">
      <c r="B43" s="156" t="s">
        <v>144</v>
      </c>
      <c r="C43" s="151">
        <f>(F43+G43)/(F$53+G$53)</f>
        <v>0.5021344450029191</v>
      </c>
      <c r="D43" s="157">
        <f>(F43+G43)/(F43+G43+F45+G45+F47+F49+G49)</f>
        <v>0.6329734319410821</v>
      </c>
      <c r="E43" s="15">
        <f>F43/(F$43+F$45+F$49+F$51)</f>
        <v>0.6330882923067798</v>
      </c>
      <c r="F43" s="10">
        <f>F31</f>
        <v>2063.8563589474184</v>
      </c>
      <c r="G43" s="158">
        <f>F43*G41</f>
        <v>1022.1380375938638</v>
      </c>
      <c r="I43" s="16"/>
      <c r="J43">
        <f t="shared" si="5"/>
        <v>2038</v>
      </c>
      <c r="K43" s="133">
        <f t="shared" si="26"/>
        <v>11665.574332565007</v>
      </c>
      <c r="L43" s="119">
        <f t="shared" si="14"/>
        <v>9727.811001689213</v>
      </c>
      <c r="M43" s="10">
        <f t="shared" si="16"/>
        <v>3906.7499766590095</v>
      </c>
      <c r="N43" s="64">
        <f t="shared" si="17"/>
        <v>-500.00806992994853</v>
      </c>
      <c r="O43" s="10">
        <f t="shared" si="32"/>
        <v>1689.4095551698008</v>
      </c>
      <c r="P43" s="10">
        <f t="shared" si="32"/>
        <v>1094.4306755863392</v>
      </c>
      <c r="Q43" s="121">
        <f t="shared" si="15"/>
        <v>182.12293294805198</v>
      </c>
      <c r="R43" s="122">
        <f t="shared" si="31"/>
        <v>0.04000000000000002</v>
      </c>
      <c r="S43" s="10">
        <f t="shared" si="19"/>
        <v>2479.2277882832896</v>
      </c>
      <c r="T43" s="10">
        <f t="shared" si="19"/>
        <v>1092.8852569225796</v>
      </c>
      <c r="U43" s="123">
        <f t="shared" si="19"/>
        <v>-217.0471139499104</v>
      </c>
      <c r="V43" s="124">
        <f t="shared" si="7"/>
        <v>1937.763330875794</v>
      </c>
      <c r="W43" s="125">
        <f t="shared" si="13"/>
        <v>4551.470340953636</v>
      </c>
      <c r="X43">
        <f t="shared" si="27"/>
        <v>62011.90439141279</v>
      </c>
      <c r="Y43" s="16">
        <f t="shared" si="1"/>
        <v>0.18811830481665417</v>
      </c>
      <c r="Z43" s="16">
        <f t="shared" si="2"/>
        <v>0.15687005740524054</v>
      </c>
      <c r="AA43" s="136">
        <f t="shared" si="8"/>
        <v>0.07339671931739462</v>
      </c>
      <c r="AB43" s="15">
        <f t="shared" si="9"/>
        <v>733.9671931739463</v>
      </c>
      <c r="AC43" s="127">
        <f t="shared" si="10"/>
        <v>0.054936901876550266</v>
      </c>
      <c r="AD43" s="16">
        <f t="shared" si="36"/>
        <v>0.06300000000000006</v>
      </c>
      <c r="AE43" s="128">
        <f t="shared" si="28"/>
        <v>0.3930730101347011</v>
      </c>
      <c r="AF43" s="129">
        <f t="shared" si="21"/>
        <v>4422.030678449385</v>
      </c>
      <c r="AG43" s="8">
        <f t="shared" si="29"/>
        <v>2347.877192961754</v>
      </c>
      <c r="AH43" s="8">
        <f t="shared" si="30"/>
        <v>6769.907871411139</v>
      </c>
      <c r="AI43" s="10">
        <f t="shared" si="22"/>
        <v>6702.879080605088</v>
      </c>
      <c r="AJ43" s="121">
        <f t="shared" si="34"/>
        <v>457.4685000702152</v>
      </c>
      <c r="AK43" s="10">
        <f t="shared" si="33"/>
        <v>2380.8793857156907</v>
      </c>
      <c r="AL43">
        <v>5</v>
      </c>
      <c r="AM43" s="10">
        <f t="shared" si="24"/>
        <v>3859.5311948191825</v>
      </c>
      <c r="AN43" s="10">
        <f t="shared" si="12"/>
        <v>67.02879080605089</v>
      </c>
      <c r="AO43" s="130">
        <f t="shared" si="25"/>
        <v>0.009900990099009903</v>
      </c>
      <c r="AP43" s="131">
        <f t="shared" si="4"/>
        <v>0.2649602563176494</v>
      </c>
      <c r="AR43" s="132">
        <v>4553.073323701297</v>
      </c>
    </row>
    <row r="44" spans="2:44" ht="12.75">
      <c r="B44" s="156"/>
      <c r="C44" s="151"/>
      <c r="D44" s="159">
        <f>D43/D45</f>
        <v>2.499324948615083</v>
      </c>
      <c r="F44"/>
      <c r="G44" s="158"/>
      <c r="I44" s="16"/>
      <c r="J44">
        <f t="shared" si="5"/>
        <v>2039</v>
      </c>
      <c r="K44" s="133">
        <f t="shared" si="26"/>
        <v>12307.180920856083</v>
      </c>
      <c r="L44" s="119">
        <f t="shared" si="14"/>
        <v>10065.364173844451</v>
      </c>
      <c r="M44" s="10">
        <f t="shared" si="16"/>
        <v>4105.265585592019</v>
      </c>
      <c r="N44" s="64">
        <f t="shared" si="17"/>
        <v>-525.4152260230159</v>
      </c>
      <c r="O44" s="10">
        <f t="shared" si="32"/>
        <v>1765.4329851524417</v>
      </c>
      <c r="P44" s="10">
        <f t="shared" si="32"/>
        <v>1127.2635958539292</v>
      </c>
      <c r="Q44" s="121">
        <f t="shared" si="15"/>
        <v>94.78753176901773</v>
      </c>
      <c r="R44" s="122">
        <f t="shared" si="31"/>
        <v>0.04100000000000002</v>
      </c>
      <c r="S44" s="10">
        <f t="shared" si="19"/>
        <v>2578.3968998146206</v>
      </c>
      <c r="T44" s="10">
        <f t="shared" si="19"/>
        <v>1142.0650934840955</v>
      </c>
      <c r="U44" s="123">
        <f t="shared" si="19"/>
        <v>-222.47329179865812</v>
      </c>
      <c r="V44" s="124">
        <f t="shared" si="7"/>
        <v>2241.8167470116314</v>
      </c>
      <c r="W44" s="125">
        <f t="shared" si="13"/>
        <v>2309.6535939420046</v>
      </c>
      <c r="X44">
        <f t="shared" si="27"/>
        <v>65422.55913294049</v>
      </c>
      <c r="Y44" s="16">
        <f t="shared" si="1"/>
        <v>0.18811830481665417</v>
      </c>
      <c r="Z44" s="16">
        <f t="shared" si="2"/>
        <v>0.15385158127781803</v>
      </c>
      <c r="AA44" s="136">
        <f t="shared" si="8"/>
        <v>0.035303626525045026</v>
      </c>
      <c r="AB44" s="15">
        <f t="shared" si="9"/>
        <v>353.03626525045024</v>
      </c>
      <c r="AC44" s="127">
        <f t="shared" si="10"/>
        <v>0.05471889829767506</v>
      </c>
      <c r="AD44" s="16">
        <f t="shared" si="36"/>
        <v>0.06275000000000006</v>
      </c>
      <c r="AE44" s="128">
        <f t="shared" si="28"/>
        <v>0.38964014254643076</v>
      </c>
      <c r="AF44" s="129">
        <f t="shared" si="21"/>
        <v>4624.498893442333</v>
      </c>
      <c r="AG44" s="8">
        <f t="shared" si="29"/>
        <v>2418.313508750606</v>
      </c>
      <c r="AH44" s="8">
        <f t="shared" si="30"/>
        <v>7042.812402192939</v>
      </c>
      <c r="AI44" s="10">
        <f t="shared" si="22"/>
        <v>6973.081586329642</v>
      </c>
      <c r="AJ44" s="121">
        <f t="shared" si="34"/>
        <v>478.0545825733749</v>
      </c>
      <c r="AK44" s="10">
        <f t="shared" si="33"/>
        <v>2476.114561144318</v>
      </c>
      <c r="AL44">
        <v>5</v>
      </c>
      <c r="AM44" s="10">
        <f t="shared" si="24"/>
        <v>4013.9124426119492</v>
      </c>
      <c r="AN44" s="10">
        <f t="shared" si="12"/>
        <v>69.73081586329681</v>
      </c>
      <c r="AO44" s="130">
        <f t="shared" si="25"/>
        <v>0.009900990099009957</v>
      </c>
      <c r="AP44" s="131">
        <f t="shared" si="4"/>
        <v>0.26043685826400476</v>
      </c>
      <c r="AR44" s="132">
        <v>2311.891018756529</v>
      </c>
    </row>
    <row r="45" spans="2:44" ht="12.75">
      <c r="B45" s="156" t="s">
        <v>145</v>
      </c>
      <c r="C45" s="151">
        <f>(F45+G45)/(F$53+G$53)</f>
        <v>0.20090802729799506</v>
      </c>
      <c r="D45" s="157">
        <f>(F45+G45)/(F43+G43+F45+G45+F47+F49+G49)</f>
        <v>0.25325775757643004</v>
      </c>
      <c r="E45" s="15">
        <f>F45/(F$43+F$45+F$49+F$51)</f>
        <v>0.2533037141319237</v>
      </c>
      <c r="F45" s="10">
        <f>F38/1000</f>
        <v>825.7655172413796</v>
      </c>
      <c r="G45" s="158">
        <f>F45*G41</f>
        <v>408.965644167337</v>
      </c>
      <c r="I45" s="16"/>
      <c r="J45">
        <f t="shared" si="5"/>
        <v>2040</v>
      </c>
      <c r="K45" s="133">
        <f t="shared" si="26"/>
        <v>12984.075871503166</v>
      </c>
      <c r="L45" s="119">
        <f t="shared" si="14"/>
        <v>10414.651995571792</v>
      </c>
      <c r="M45" s="10">
        <f t="shared" si="16"/>
        <v>4313.799992828267</v>
      </c>
      <c r="N45" s="64">
        <f t="shared" si="17"/>
        <v>-552.1046448747826</v>
      </c>
      <c r="O45" s="10">
        <f t="shared" si="32"/>
        <v>1844.8774694843014</v>
      </c>
      <c r="P45" s="10">
        <f t="shared" si="32"/>
        <v>1161.081503729547</v>
      </c>
      <c r="Q45" s="121">
        <f t="shared" si="15"/>
        <v>0</v>
      </c>
      <c r="R45" s="122">
        <f t="shared" si="31"/>
        <v>0.04200000000000002</v>
      </c>
      <c r="S45" s="10">
        <f t="shared" si="19"/>
        <v>2681.532775807205</v>
      </c>
      <c r="T45" s="10">
        <f t="shared" si="19"/>
        <v>1193.4580226908797</v>
      </c>
      <c r="U45" s="123">
        <f t="shared" si="19"/>
        <v>-228.03512409362455</v>
      </c>
      <c r="V45" s="124">
        <f t="shared" si="7"/>
        <v>2569.423875931374</v>
      </c>
      <c r="W45" s="125">
        <f t="shared" si="13"/>
        <v>-259.7702819893693</v>
      </c>
      <c r="X45">
        <f t="shared" si="27"/>
        <v>69020.79988525221</v>
      </c>
      <c r="Y45" s="16">
        <f t="shared" si="1"/>
        <v>0.18811830481665417</v>
      </c>
      <c r="Z45" s="16">
        <f t="shared" si="2"/>
        <v>0.1508914995608028</v>
      </c>
      <c r="AA45" s="136">
        <f t="shared" si="8"/>
        <v>-0.003763652151543304</v>
      </c>
      <c r="AB45" s="15">
        <f t="shared" si="9"/>
        <v>-37.63652151543304</v>
      </c>
      <c r="AC45" s="127">
        <f t="shared" si="10"/>
        <v>0.05450089471879986</v>
      </c>
      <c r="AD45" s="16">
        <f t="shared" si="36"/>
        <v>0.06250000000000006</v>
      </c>
      <c r="AE45" s="128">
        <f t="shared" si="28"/>
        <v>0.3862082485403246</v>
      </c>
      <c r="AF45" s="129">
        <f t="shared" si="21"/>
        <v>4835.8741599095265</v>
      </c>
      <c r="AG45" s="8">
        <f t="shared" si="29"/>
        <v>2490.862914013124</v>
      </c>
      <c r="AH45" s="8">
        <f t="shared" si="30"/>
        <v>7326.73707392265</v>
      </c>
      <c r="AI45" s="10">
        <f t="shared" si="22"/>
        <v>7254.1951226956935</v>
      </c>
      <c r="AJ45" s="121">
        <f t="shared" si="34"/>
        <v>499.5670387891767</v>
      </c>
      <c r="AK45" s="10">
        <f t="shared" si="33"/>
        <v>2575.1591435900905</v>
      </c>
      <c r="AL45">
        <v>5</v>
      </c>
      <c r="AM45" s="10">
        <f t="shared" si="24"/>
        <v>4174.468940316427</v>
      </c>
      <c r="AN45" s="10">
        <f t="shared" si="12"/>
        <v>72.54195122695637</v>
      </c>
      <c r="AO45" s="130">
        <f t="shared" si="25"/>
        <v>0.009900990099009825</v>
      </c>
      <c r="AP45" s="131">
        <f t="shared" si="4"/>
        <v>0.2559930795882129</v>
      </c>
      <c r="AR45" s="132">
        <v>-257.53285717484505</v>
      </c>
    </row>
    <row r="46" spans="2:44" ht="12.75">
      <c r="B46" s="156"/>
      <c r="C46" s="159"/>
      <c r="F46"/>
      <c r="G46" s="158"/>
      <c r="I46" s="16"/>
      <c r="J46">
        <f t="shared" si="5"/>
        <v>2041</v>
      </c>
      <c r="K46" s="133">
        <f t="shared" si="26"/>
        <v>13698.20004443584</v>
      </c>
      <c r="L46" s="119">
        <f t="shared" si="14"/>
        <v>10878.789860530587</v>
      </c>
      <c r="M46" s="10">
        <f t="shared" si="16"/>
        <v>4532.854756464086</v>
      </c>
      <c r="N46" s="64">
        <f t="shared" si="17"/>
        <v>-580.1405187415239</v>
      </c>
      <c r="O46" s="10">
        <f t="shared" si="32"/>
        <v>1927.8969556110949</v>
      </c>
      <c r="P46" s="10">
        <f t="shared" si="32"/>
        <v>1195.9139488414332</v>
      </c>
      <c r="Q46" s="121">
        <f t="shared" si="15"/>
        <v>0</v>
      </c>
      <c r="R46" s="122">
        <f t="shared" si="31"/>
        <v>0.043000000000000024</v>
      </c>
      <c r="S46" s="10">
        <f t="shared" si="19"/>
        <v>2788.7940868394926</v>
      </c>
      <c r="T46" s="10">
        <f t="shared" si="19"/>
        <v>1247.1636337119692</v>
      </c>
      <c r="U46" s="123">
        <f t="shared" si="19"/>
        <v>-233.73600219596514</v>
      </c>
      <c r="V46" s="124">
        <f t="shared" si="7"/>
        <v>2819.410183905253</v>
      </c>
      <c r="W46" s="125">
        <f t="shared" si="13"/>
        <v>-3079.180465894622</v>
      </c>
      <c r="X46">
        <f t="shared" si="27"/>
        <v>72816.94387894108</v>
      </c>
      <c r="Y46" s="16">
        <f t="shared" si="1"/>
        <v>0.1881183048166542</v>
      </c>
      <c r="Z46" s="16">
        <f t="shared" si="2"/>
        <v>0.14939915466126522</v>
      </c>
      <c r="AA46" s="136">
        <f t="shared" si="8"/>
        <v>-0.04228659295306037</v>
      </c>
      <c r="AB46" s="15">
        <f t="shared" si="9"/>
        <v>-422.8659295306037</v>
      </c>
      <c r="AC46" s="127">
        <f t="shared" si="10"/>
        <v>0.05428289113992466</v>
      </c>
      <c r="AD46" s="16">
        <f t="shared" si="36"/>
        <v>0.062250000000000055</v>
      </c>
      <c r="AE46" s="128">
        <f t="shared" si="28"/>
        <v>0.38277839634078115</v>
      </c>
      <c r="AF46" s="129">
        <f t="shared" si="21"/>
        <v>5056.538568991924</v>
      </c>
      <c r="AG46" s="8">
        <f t="shared" si="29"/>
        <v>2565.588801433517</v>
      </c>
      <c r="AH46" s="8">
        <f t="shared" si="30"/>
        <v>7622.127370425441</v>
      </c>
      <c r="AI46" s="10">
        <f t="shared" si="22"/>
        <v>7546.660762797466</v>
      </c>
      <c r="AJ46" s="121">
        <f t="shared" si="34"/>
        <v>522.0475555346896</v>
      </c>
      <c r="AK46" s="10">
        <f t="shared" si="33"/>
        <v>2678.1655093336935</v>
      </c>
      <c r="AL46">
        <v>5</v>
      </c>
      <c r="AM46" s="10">
        <f t="shared" si="24"/>
        <v>4341.447697929083</v>
      </c>
      <c r="AN46" s="10">
        <f t="shared" si="12"/>
        <v>75.46660762797455</v>
      </c>
      <c r="AO46" s="130">
        <f t="shared" si="25"/>
        <v>0.009900990099009887</v>
      </c>
      <c r="AP46" s="131">
        <f t="shared" si="4"/>
        <v>0.253037955753273</v>
      </c>
      <c r="AR46" s="132">
        <v>-3076.943041080098</v>
      </c>
    </row>
    <row r="47" spans="2:44" ht="12.75">
      <c r="B47" s="156" t="s">
        <v>146</v>
      </c>
      <c r="C47" s="151">
        <f>(F47+G47)/(F$53+G$53)</f>
        <v>0.028210913383924143</v>
      </c>
      <c r="D47" s="157">
        <f>(F47)/(F43+G43+F45+G45+F47+F49+G49)</f>
        <v>0.0355617083044587</v>
      </c>
      <c r="F47" s="10">
        <f>(F43+F45)*0.06</f>
        <v>173.37731257132788</v>
      </c>
      <c r="G47" s="158"/>
      <c r="I47" s="16"/>
      <c r="J47">
        <f t="shared" si="5"/>
        <v>2042</v>
      </c>
      <c r="K47" s="133">
        <f t="shared" si="26"/>
        <v>14451.60104687981</v>
      </c>
      <c r="L47" s="119">
        <f t="shared" si="14"/>
        <v>11363.906208150165</v>
      </c>
      <c r="M47" s="10">
        <f t="shared" si="16"/>
        <v>4762.95629912154</v>
      </c>
      <c r="N47" s="64">
        <f t="shared" si="17"/>
        <v>-609.5902221828608</v>
      </c>
      <c r="O47" s="10">
        <f t="shared" si="32"/>
        <v>2014.652318613594</v>
      </c>
      <c r="P47" s="10">
        <f t="shared" si="32"/>
        <v>1231.791367306676</v>
      </c>
      <c r="Q47" s="121">
        <f t="shared" si="15"/>
        <v>0</v>
      </c>
      <c r="R47" s="122">
        <f t="shared" si="31"/>
        <v>0.044000000000000025</v>
      </c>
      <c r="S47" s="10">
        <f t="shared" si="19"/>
        <v>2900.345850313072</v>
      </c>
      <c r="T47" s="10">
        <f t="shared" si="19"/>
        <v>1303.2859972290078</v>
      </c>
      <c r="U47" s="123">
        <f t="shared" si="19"/>
        <v>-239.57940225086426</v>
      </c>
      <c r="V47" s="124">
        <f t="shared" si="7"/>
        <v>3087.694838729645</v>
      </c>
      <c r="W47" s="125">
        <f t="shared" si="13"/>
        <v>-6166.875304624267</v>
      </c>
      <c r="X47">
        <f t="shared" si="27"/>
        <v>76821.87579228284</v>
      </c>
      <c r="Y47" s="16">
        <f t="shared" si="1"/>
        <v>0.1881183048166542</v>
      </c>
      <c r="Z47" s="16">
        <f t="shared" si="2"/>
        <v>0.14792539352822898</v>
      </c>
      <c r="AA47" s="136">
        <f t="shared" si="8"/>
        <v>-0.08027498991691846</v>
      </c>
      <c r="AB47" s="15">
        <f t="shared" si="9"/>
        <v>-802.7498991691846</v>
      </c>
      <c r="AC47" s="127">
        <f t="shared" si="10"/>
        <v>0.054064887561049456</v>
      </c>
      <c r="AD47" s="16">
        <f t="shared" si="36"/>
        <v>0.062000000000000055</v>
      </c>
      <c r="AE47" s="128">
        <f t="shared" si="28"/>
        <v>0.3793516149067739</v>
      </c>
      <c r="AF47" s="129">
        <f t="shared" si="21"/>
        <v>5286.890339921385</v>
      </c>
      <c r="AG47" s="8">
        <f t="shared" si="29"/>
        <v>2642.5564654765217</v>
      </c>
      <c r="AH47" s="8">
        <f t="shared" si="30"/>
        <v>7929.446805397907</v>
      </c>
      <c r="AI47" s="10">
        <f t="shared" si="22"/>
        <v>7850.937431087037</v>
      </c>
      <c r="AJ47" s="121">
        <f t="shared" si="34"/>
        <v>545.5396955337507</v>
      </c>
      <c r="AK47" s="10">
        <f t="shared" si="33"/>
        <v>2785.2921297070407</v>
      </c>
      <c r="AL47">
        <v>5</v>
      </c>
      <c r="AM47" s="10">
        <f t="shared" si="24"/>
        <v>4515.105605846245</v>
      </c>
      <c r="AN47" s="10">
        <f t="shared" si="12"/>
        <v>78.50937431087004</v>
      </c>
      <c r="AO47" s="130">
        <f t="shared" si="25"/>
        <v>0.00990099009900986</v>
      </c>
      <c r="AP47" s="131">
        <f t="shared" si="4"/>
        <v>0.25012203153164136</v>
      </c>
      <c r="AR47" s="132">
        <v>-6164.637879809743</v>
      </c>
    </row>
    <row r="48" spans="2:44" ht="12.75">
      <c r="B48" s="156"/>
      <c r="C48" s="151"/>
      <c r="D48" s="157"/>
      <c r="F48"/>
      <c r="G48" s="158"/>
      <c r="I48" s="16"/>
      <c r="J48">
        <f t="shared" si="5"/>
        <v>2043</v>
      </c>
      <c r="K48" s="133">
        <f t="shared" si="26"/>
        <v>15246.439104458199</v>
      </c>
      <c r="L48" s="119">
        <f t="shared" si="14"/>
        <v>11870.959103299312</v>
      </c>
      <c r="M48" s="10">
        <f t="shared" si="16"/>
        <v>5004.65712583301</v>
      </c>
      <c r="N48" s="64">
        <f t="shared" si="17"/>
        <v>-640.5244679335515</v>
      </c>
      <c r="O48" s="10">
        <f t="shared" si="32"/>
        <v>2105.3116729512053</v>
      </c>
      <c r="P48" s="10">
        <f t="shared" si="32"/>
        <v>1268.7451083258761</v>
      </c>
      <c r="Q48" s="121">
        <f t="shared" si="15"/>
        <v>0</v>
      </c>
      <c r="R48" s="122">
        <f t="shared" si="31"/>
        <v>0.045000000000000026</v>
      </c>
      <c r="S48" s="10">
        <f t="shared" si="19"/>
        <v>3016.359684325594</v>
      </c>
      <c r="T48" s="10">
        <f t="shared" si="19"/>
        <v>1361.933867104313</v>
      </c>
      <c r="U48" s="123">
        <f t="shared" si="19"/>
        <v>-245.56888730713584</v>
      </c>
      <c r="V48" s="124">
        <f t="shared" si="7"/>
        <v>3375.480001158887</v>
      </c>
      <c r="W48" s="125">
        <f t="shared" si="13"/>
        <v>-9542.355305783154</v>
      </c>
      <c r="X48">
        <f t="shared" si="27"/>
        <v>81047.07896085839</v>
      </c>
      <c r="Y48" s="16">
        <f t="shared" si="1"/>
        <v>0.1881183048166542</v>
      </c>
      <c r="Z48" s="16">
        <f t="shared" si="2"/>
        <v>0.14646991915689375</v>
      </c>
      <c r="AA48" s="136">
        <f t="shared" si="8"/>
        <v>-0.11773842349570213</v>
      </c>
      <c r="AB48" s="15">
        <f t="shared" si="9"/>
        <v>-1177.3842349570214</v>
      </c>
      <c r="AC48" s="127">
        <f t="shared" si="10"/>
        <v>0.05384688398217426</v>
      </c>
      <c r="AD48" s="16">
        <f t="shared" si="36"/>
        <v>0.061750000000000055</v>
      </c>
      <c r="AE48" s="128">
        <f t="shared" si="28"/>
        <v>0.3759288949897532</v>
      </c>
      <c r="AF48" s="129">
        <f t="shared" si="21"/>
        <v>5527.34449363545</v>
      </c>
      <c r="AG48" s="8">
        <f t="shared" si="29"/>
        <v>2721.833159440817</v>
      </c>
      <c r="AH48" s="8">
        <f t="shared" si="30"/>
        <v>8249.177653076267</v>
      </c>
      <c r="AI48" s="10">
        <f t="shared" si="22"/>
        <v>8167.502626808186</v>
      </c>
      <c r="AJ48" s="121">
        <f t="shared" si="34"/>
        <v>570.0889818327694</v>
      </c>
      <c r="AK48" s="10">
        <f t="shared" si="33"/>
        <v>2896.7038148953216</v>
      </c>
      <c r="AL48">
        <v>5</v>
      </c>
      <c r="AM48" s="10">
        <f t="shared" si="24"/>
        <v>4695.709830080094</v>
      </c>
      <c r="AN48" s="10">
        <f t="shared" si="12"/>
        <v>81.67502626808164</v>
      </c>
      <c r="AO48" s="130">
        <f t="shared" si="25"/>
        <v>0.009900990099009875</v>
      </c>
      <c r="AP48" s="131">
        <f t="shared" si="4"/>
        <v>0.24724471241937115</v>
      </c>
      <c r="AR48" s="132">
        <v>-9540.11788096863</v>
      </c>
    </row>
    <row r="49" spans="2:44" ht="12.75">
      <c r="B49" s="156" t="s">
        <v>147</v>
      </c>
      <c r="C49" s="151">
        <f>(F49+G49)/(F$53+G$53)</f>
        <v>0.06204127671997866</v>
      </c>
      <c r="D49" s="157">
        <f>(F49+G49)/(F43+G43+F45+G45+F47+F49+G49)</f>
        <v>0.07820710217802915</v>
      </c>
      <c r="E49" s="15">
        <f>F49/(F$43+F$45+F$49+F$51)</f>
        <v>0.07822129376317795</v>
      </c>
      <c r="F49">
        <v>255</v>
      </c>
      <c r="G49" s="158">
        <f>F49*G41</f>
        <v>126.29037794052984</v>
      </c>
      <c r="I49" s="16"/>
      <c r="J49">
        <f t="shared" si="5"/>
        <v>2044</v>
      </c>
      <c r="K49" s="133">
        <f t="shared" si="26"/>
        <v>16084.993255203399</v>
      </c>
      <c r="L49" s="119">
        <f t="shared" si="14"/>
        <v>12400.950643525655</v>
      </c>
      <c r="M49" s="10">
        <f t="shared" si="16"/>
        <v>5258.537100677899</v>
      </c>
      <c r="N49" s="64">
        <f t="shared" si="17"/>
        <v>-673.017470294715</v>
      </c>
      <c r="O49" s="10">
        <f t="shared" si="32"/>
        <v>2200.0506982340094</v>
      </c>
      <c r="P49" s="10">
        <f t="shared" si="32"/>
        <v>1306.807461575652</v>
      </c>
      <c r="Q49" s="121">
        <f t="shared" si="15"/>
        <v>0</v>
      </c>
      <c r="R49" s="122">
        <f t="shared" si="31"/>
        <v>0.04600000000000003</v>
      </c>
      <c r="S49" s="10">
        <f t="shared" si="19"/>
        <v>3137.0140716986175</v>
      </c>
      <c r="T49" s="10">
        <f t="shared" si="19"/>
        <v>1423.220891124007</v>
      </c>
      <c r="U49" s="123">
        <f t="shared" si="19"/>
        <v>-251.7081094898142</v>
      </c>
      <c r="V49" s="124">
        <f t="shared" si="7"/>
        <v>3684.0426116777435</v>
      </c>
      <c r="W49" s="125">
        <f t="shared" si="13"/>
        <v>-13226.397917460898</v>
      </c>
      <c r="X49">
        <f t="shared" si="27"/>
        <v>85504.66830370559</v>
      </c>
      <c r="Y49" s="16">
        <f t="shared" si="1"/>
        <v>0.1881183048166542</v>
      </c>
      <c r="Z49" s="16">
        <f t="shared" si="2"/>
        <v>0.14503243962631948</v>
      </c>
      <c r="AA49" s="136">
        <f t="shared" si="8"/>
        <v>-0.15468626660806184</v>
      </c>
      <c r="AB49" s="15">
        <f t="shared" si="9"/>
        <v>-1546.8626660806185</v>
      </c>
      <c r="AC49" s="127">
        <f t="shared" si="10"/>
        <v>0.053628880403299065</v>
      </c>
      <c r="AD49" s="16">
        <f t="shared" si="36"/>
        <v>0.061500000000000055</v>
      </c>
      <c r="AE49" s="128">
        <f t="shared" si="28"/>
        <v>0.3725111901682637</v>
      </c>
      <c r="AF49" s="129">
        <f t="shared" si="21"/>
        <v>5778.3335543335315</v>
      </c>
      <c r="AG49" s="8">
        <f t="shared" si="29"/>
        <v>2803.488154224041</v>
      </c>
      <c r="AH49" s="8">
        <f t="shared" si="30"/>
        <v>8581.821708557572</v>
      </c>
      <c r="AI49" s="10">
        <f t="shared" si="22"/>
        <v>8496.853176789675</v>
      </c>
      <c r="AJ49" s="121">
        <f t="shared" si="34"/>
        <v>595.742986015244</v>
      </c>
      <c r="AK49" s="10">
        <f t="shared" si="33"/>
        <v>3012.571967491134</v>
      </c>
      <c r="AL49">
        <v>5</v>
      </c>
      <c r="AM49" s="10">
        <f t="shared" si="24"/>
        <v>4883.538223283297</v>
      </c>
      <c r="AN49" s="10">
        <f t="shared" si="12"/>
        <v>84.96853176789773</v>
      </c>
      <c r="AO49" s="130">
        <f t="shared" si="25"/>
        <v>0.009900990099010014</v>
      </c>
      <c r="AP49" s="131">
        <f t="shared" si="4"/>
        <v>0.24440541358616866</v>
      </c>
      <c r="AR49" s="132">
        <v>-13224.160492646373</v>
      </c>
    </row>
    <row r="50" spans="2:44" ht="12.75">
      <c r="B50" s="156"/>
      <c r="C50" s="151"/>
      <c r="D50" s="160"/>
      <c r="F50"/>
      <c r="G50" s="158"/>
      <c r="I50" s="16"/>
      <c r="J50">
        <f t="shared" si="5"/>
        <v>2045</v>
      </c>
      <c r="K50" s="133">
        <f t="shared" si="26"/>
        <v>16969.667884239585</v>
      </c>
      <c r="L50" s="119">
        <f t="shared" si="14"/>
        <v>12954.928987191524</v>
      </c>
      <c r="M50" s="10">
        <f t="shared" si="16"/>
        <v>5525.2047849500805</v>
      </c>
      <c r="N50" s="64">
        <f t="shared" si="17"/>
        <v>-707.1471164001075</v>
      </c>
      <c r="O50" s="10">
        <f t="shared" si="32"/>
        <v>2299.0529796545397</v>
      </c>
      <c r="P50" s="10">
        <f t="shared" si="32"/>
        <v>1346.0116854229213</v>
      </c>
      <c r="Q50" s="121">
        <f t="shared" si="15"/>
        <v>0</v>
      </c>
      <c r="R50" s="122">
        <f t="shared" si="31"/>
        <v>0.04700000000000003</v>
      </c>
      <c r="S50" s="10">
        <f t="shared" si="19"/>
        <v>3262.4946345665617</v>
      </c>
      <c r="T50" s="10">
        <f t="shared" si="19"/>
        <v>1487.2658312245871</v>
      </c>
      <c r="U50" s="123">
        <f t="shared" si="19"/>
        <v>-258.00081222705955</v>
      </c>
      <c r="V50" s="124">
        <f t="shared" si="7"/>
        <v>4014.7388970480606</v>
      </c>
      <c r="W50" s="125">
        <f t="shared" si="13"/>
        <v>-17241.13681450896</v>
      </c>
      <c r="X50">
        <f t="shared" si="27"/>
        <v>90207.4250604094</v>
      </c>
      <c r="Y50" s="16">
        <f t="shared" si="1"/>
        <v>0.18811830481665417</v>
      </c>
      <c r="Z50" s="16">
        <f t="shared" si="2"/>
        <v>0.14361266800949002</v>
      </c>
      <c r="AA50" s="136">
        <f t="shared" si="8"/>
        <v>-0.19112769046409483</v>
      </c>
      <c r="AB50" s="15">
        <f t="shared" si="9"/>
        <v>-1911.2769046409483</v>
      </c>
      <c r="AC50" s="127">
        <f t="shared" si="10"/>
        <v>0.053410876824423865</v>
      </c>
      <c r="AD50" s="16">
        <f t="shared" si="36"/>
        <v>0.061250000000000054</v>
      </c>
      <c r="AE50" s="128">
        <f t="shared" si="28"/>
        <v>0.3690994178596182</v>
      </c>
      <c r="AF50" s="129">
        <f t="shared" si="21"/>
        <v>6040.308280128489</v>
      </c>
      <c r="AG50" s="8">
        <f t="shared" si="29"/>
        <v>2887.5927988507615</v>
      </c>
      <c r="AH50" s="8">
        <f t="shared" si="30"/>
        <v>8927.90107897925</v>
      </c>
      <c r="AI50" s="10">
        <f t="shared" si="22"/>
        <v>8839.506018791337</v>
      </c>
      <c r="AJ50" s="121">
        <f t="shared" si="34"/>
        <v>622.55142038593</v>
      </c>
      <c r="AK50" s="10">
        <f t="shared" si="33"/>
        <v>3133.0748461907788</v>
      </c>
      <c r="AL50">
        <v>5</v>
      </c>
      <c r="AM50" s="10">
        <f t="shared" si="24"/>
        <v>5078.879752214628</v>
      </c>
      <c r="AN50" s="10">
        <f t="shared" si="12"/>
        <v>88.39506018791326</v>
      </c>
      <c r="AO50" s="130">
        <f t="shared" si="25"/>
        <v>0.009900990099009889</v>
      </c>
      <c r="AP50" s="131">
        <f t="shared" si="4"/>
        <v>0.24160355970018804</v>
      </c>
      <c r="AR50" s="132">
        <v>-17238.899389694434</v>
      </c>
    </row>
    <row r="51" spans="2:44" ht="12.75">
      <c r="B51" s="156" t="s">
        <v>46</v>
      </c>
      <c r="C51" s="151">
        <f>(F51+G51)/(F$53+G$53)</f>
        <v>0.20670533759518286</v>
      </c>
      <c r="D51" s="160"/>
      <c r="E51" s="15">
        <f>F51/(F$43+F$45+F$49+F$51)</f>
        <v>0.03538669979811847</v>
      </c>
      <c r="F51" s="10">
        <f>112*1.03</f>
        <v>115.36</v>
      </c>
      <c r="G51" s="158">
        <f>(24+166+239+401+270)*1.05</f>
        <v>1155</v>
      </c>
      <c r="I51" s="16"/>
      <c r="J51">
        <f t="shared" si="5"/>
        <v>2046</v>
      </c>
      <c r="K51" s="133">
        <f t="shared" si="26"/>
        <v>17902.99961787276</v>
      </c>
      <c r="L51" s="119">
        <f t="shared" si="14"/>
        <v>13533.990474803986</v>
      </c>
      <c r="M51" s="10">
        <f t="shared" si="16"/>
        <v>5805.298839762651</v>
      </c>
      <c r="N51" s="64">
        <f t="shared" si="17"/>
        <v>-742.9951457294518</v>
      </c>
      <c r="O51" s="10">
        <f t="shared" si="32"/>
        <v>2402.510363738994</v>
      </c>
      <c r="P51" s="10">
        <f t="shared" si="32"/>
        <v>1386.3920359856088</v>
      </c>
      <c r="Q51" s="121">
        <f t="shared" si="15"/>
        <v>0</v>
      </c>
      <c r="R51" s="122">
        <f t="shared" si="31"/>
        <v>0.04800000000000003</v>
      </c>
      <c r="S51" s="10">
        <f t="shared" si="19"/>
        <v>3392.9944199492234</v>
      </c>
      <c r="T51" s="10">
        <f t="shared" si="19"/>
        <v>1554.1927936296934</v>
      </c>
      <c r="U51" s="123">
        <f t="shared" si="19"/>
        <v>-264.450832532736</v>
      </c>
      <c r="V51" s="124">
        <f t="shared" si="7"/>
        <v>4369.0091430687735</v>
      </c>
      <c r="W51" s="125">
        <f t="shared" si="13"/>
        <v>-21610.145957577733</v>
      </c>
      <c r="X51">
        <f t="shared" si="27"/>
        <v>95168.8334387319</v>
      </c>
      <c r="Y51" s="16">
        <f t="shared" si="1"/>
        <v>0.18811830481665417</v>
      </c>
      <c r="Z51" s="16">
        <f t="shared" si="2"/>
        <v>0.14221032228494154</v>
      </c>
      <c r="AA51" s="136">
        <f t="shared" si="8"/>
        <v>-0.22707167017540444</v>
      </c>
      <c r="AB51" s="15">
        <f t="shared" si="9"/>
        <v>-2270.7167017540446</v>
      </c>
      <c r="AC51" s="127">
        <f t="shared" si="10"/>
        <v>0.053192873245548666</v>
      </c>
      <c r="AD51" s="16">
        <f t="shared" si="36"/>
        <v>0.061000000000000054</v>
      </c>
      <c r="AE51" s="128">
        <f t="shared" si="28"/>
        <v>0.36569446030897346</v>
      </c>
      <c r="AF51" s="129">
        <f t="shared" si="21"/>
        <v>6313.738423995084</v>
      </c>
      <c r="AG51" s="8">
        <f t="shared" si="29"/>
        <v>2974.2205828162837</v>
      </c>
      <c r="AH51" s="8">
        <f t="shared" si="30"/>
        <v>9287.959006811368</v>
      </c>
      <c r="AI51" s="10">
        <f t="shared" si="22"/>
        <v>9195.999016644919</v>
      </c>
      <c r="AJ51" s="121">
        <f t="shared" si="34"/>
        <v>650.5662343032968</v>
      </c>
      <c r="AK51" s="10">
        <f t="shared" si="33"/>
        <v>3258.3978400384094</v>
      </c>
      <c r="AL51">
        <v>5</v>
      </c>
      <c r="AM51" s="10">
        <f t="shared" si="24"/>
        <v>5282.034942303212</v>
      </c>
      <c r="AN51" s="10">
        <f t="shared" si="12"/>
        <v>91.95999016644964</v>
      </c>
      <c r="AO51" s="130">
        <f t="shared" si="25"/>
        <v>0.00990099009900995</v>
      </c>
      <c r="AP51" s="131">
        <f t="shared" si="4"/>
        <v>0.2388385847566587</v>
      </c>
      <c r="AR51" s="132">
        <v>-21607.908532763206</v>
      </c>
    </row>
    <row r="52" spans="2:44" ht="12.75">
      <c r="B52" s="14"/>
      <c r="C52" s="161" t="s">
        <v>11</v>
      </c>
      <c r="D52" s="162" t="s">
        <v>11</v>
      </c>
      <c r="F52" s="163" t="s">
        <v>11</v>
      </c>
      <c r="G52" s="164" t="s">
        <v>11</v>
      </c>
      <c r="I52" s="16"/>
      <c r="J52">
        <f t="shared" si="5"/>
        <v>2047</v>
      </c>
      <c r="K52" s="133">
        <f t="shared" si="26"/>
        <v>18887.66459685576</v>
      </c>
      <c r="L52" s="119">
        <f t="shared" si="14"/>
        <v>14139.280847788808</v>
      </c>
      <c r="M52" s="10">
        <f t="shared" si="16"/>
        <v>6099.489496130131</v>
      </c>
      <c r="N52" s="64">
        <f t="shared" si="17"/>
        <v>-780.6473382579134</v>
      </c>
      <c r="O52" s="10">
        <f t="shared" si="32"/>
        <v>2510.6233301072484</v>
      </c>
      <c r="P52" s="10">
        <f t="shared" si="32"/>
        <v>1427.9837970651768</v>
      </c>
      <c r="Q52" s="121">
        <f t="shared" si="15"/>
        <v>0</v>
      </c>
      <c r="R52" s="122">
        <v>0.048</v>
      </c>
      <c r="S52" s="10">
        <f t="shared" si="19"/>
        <v>3528.7141967471916</v>
      </c>
      <c r="T52" s="10">
        <f t="shared" si="19"/>
        <v>1624.1314693430295</v>
      </c>
      <c r="U52" s="123">
        <f t="shared" si="19"/>
        <v>-271.06210334605436</v>
      </c>
      <c r="V52" s="124">
        <f t="shared" si="7"/>
        <v>4748.383749066952</v>
      </c>
      <c r="W52" s="125">
        <f t="shared" si="13"/>
        <v>-26358.529706644687</v>
      </c>
      <c r="X52">
        <f t="shared" si="27"/>
        <v>100403.11927786215</v>
      </c>
      <c r="Y52" s="16">
        <f t="shared" si="1"/>
        <v>0.1881183048166542</v>
      </c>
      <c r="Z52" s="16">
        <f t="shared" si="2"/>
        <v>0.14082511529008215</v>
      </c>
      <c r="AA52" s="136">
        <f t="shared" si="8"/>
        <v>-0.2625270001193725</v>
      </c>
      <c r="AB52" s="15">
        <f t="shared" si="9"/>
        <v>-2625.2700011937254</v>
      </c>
      <c r="AC52" s="127">
        <f t="shared" si="10"/>
        <v>0.05297486966667347</v>
      </c>
      <c r="AD52" s="16">
        <f t="shared" si="36"/>
        <v>0.060750000000000054</v>
      </c>
      <c r="AE52" s="128">
        <f t="shared" si="28"/>
        <v>0.36229716555615327</v>
      </c>
      <c r="AF52" s="129">
        <f t="shared" si="21"/>
        <v>6599.113526266282</v>
      </c>
      <c r="AG52" s="8">
        <f t="shared" si="29"/>
        <v>3063.447200300772</v>
      </c>
      <c r="AH52" s="8">
        <f t="shared" si="30"/>
        <v>9662.560726567053</v>
      </c>
      <c r="AI52" s="10">
        <f t="shared" si="22"/>
        <v>9566.89180848223</v>
      </c>
      <c r="AJ52" s="121">
        <f t="shared" si="34"/>
        <v>679.8417148469451</v>
      </c>
      <c r="AK52" s="10">
        <f t="shared" si="33"/>
        <v>3388.733753639945</v>
      </c>
      <c r="AL52">
        <v>5</v>
      </c>
      <c r="AM52" s="10">
        <f t="shared" si="24"/>
        <v>5493.31633999534</v>
      </c>
      <c r="AN52" s="10">
        <f t="shared" si="12"/>
        <v>95.66891808482251</v>
      </c>
      <c r="AO52" s="130">
        <f t="shared" si="25"/>
        <v>0.009900990099009922</v>
      </c>
      <c r="AP52" s="131">
        <f t="shared" si="4"/>
        <v>0.23610992195038313</v>
      </c>
      <c r="AR52" s="132">
        <v>-26356.29228183016</v>
      </c>
    </row>
    <row r="53" spans="2:44" ht="12.75">
      <c r="B53" s="24" t="s">
        <v>117</v>
      </c>
      <c r="C53" s="151">
        <f>C43+C45+C47+C49+C51</f>
        <v>0.9999999999999998</v>
      </c>
      <c r="D53" s="151">
        <f>D43+D45+D47+D49+D51</f>
        <v>1</v>
      </c>
      <c r="F53" s="125">
        <f>F43+F45+F47+F49+F51</f>
        <v>3433.359188760126</v>
      </c>
      <c r="G53" s="165">
        <f>SUM(G43:G51)</f>
        <v>2712.394059701731</v>
      </c>
      <c r="I53" s="16"/>
      <c r="J53">
        <f t="shared" si="5"/>
        <v>2048</v>
      </c>
      <c r="K53" s="133">
        <f t="shared" si="26"/>
        <v>19926.486149682827</v>
      </c>
      <c r="L53" s="119">
        <f t="shared" si="14"/>
        <v>14772.000569149124</v>
      </c>
      <c r="M53" s="10">
        <f t="shared" si="16"/>
        <v>6408.480095707751</v>
      </c>
      <c r="N53" s="64">
        <f t="shared" si="17"/>
        <v>-820.1937116486744</v>
      </c>
      <c r="O53" s="10">
        <f t="shared" si="32"/>
        <v>2623.6013799620746</v>
      </c>
      <c r="P53" s="10">
        <f t="shared" si="32"/>
        <v>1470.8233109771318</v>
      </c>
      <c r="Q53" s="121">
        <f t="shared" si="15"/>
        <v>0</v>
      </c>
      <c r="R53" s="122">
        <v>0.048</v>
      </c>
      <c r="S53" s="10">
        <f t="shared" si="19"/>
        <v>3669.8627646170785</v>
      </c>
      <c r="T53" s="10">
        <f t="shared" si="19"/>
        <v>1697.2173854634657</v>
      </c>
      <c r="U53" s="123">
        <f t="shared" si="19"/>
        <v>-277.8386559297057</v>
      </c>
      <c r="V53" s="124">
        <f t="shared" si="7"/>
        <v>5154.485580533703</v>
      </c>
      <c r="W53" s="125">
        <f t="shared" si="13"/>
        <v>-31513.01528717839</v>
      </c>
      <c r="X53">
        <f t="shared" si="27"/>
        <v>105925.29083814456</v>
      </c>
      <c r="Y53" s="16">
        <f t="shared" si="1"/>
        <v>0.1881183048166542</v>
      </c>
      <c r="Z53" s="16">
        <f t="shared" si="2"/>
        <v>0.13945678555389537</v>
      </c>
      <c r="AA53" s="136">
        <f t="shared" si="8"/>
        <v>-0.297502277669747</v>
      </c>
      <c r="AB53" s="15">
        <f t="shared" si="9"/>
        <v>-2975.0227766974704</v>
      </c>
      <c r="AC53" s="127">
        <f t="shared" si="10"/>
        <v>0.05275686608779827</v>
      </c>
      <c r="AD53" s="16">
        <f t="shared" si="36"/>
        <v>0.060500000000000054</v>
      </c>
      <c r="AE53" s="128">
        <f t="shared" si="28"/>
        <v>0.3589083483805731</v>
      </c>
      <c r="AF53" s="129">
        <f t="shared" si="21"/>
        <v>6896.943739979915</v>
      </c>
      <c r="AG53" s="8">
        <f t="shared" si="29"/>
        <v>3155.3506163097945</v>
      </c>
      <c r="AH53" s="8">
        <f t="shared" si="30"/>
        <v>10052.294356289709</v>
      </c>
      <c r="AI53" s="10">
        <f t="shared" si="22"/>
        <v>9952.766689395754</v>
      </c>
      <c r="AJ53" s="121">
        <f t="shared" si="34"/>
        <v>710.4345920150577</v>
      </c>
      <c r="AK53" s="10">
        <f t="shared" si="33"/>
        <v>3524.283103785542</v>
      </c>
      <c r="AL53">
        <v>5</v>
      </c>
      <c r="AM53" s="10">
        <f t="shared" si="24"/>
        <v>5713.048993595153</v>
      </c>
      <c r="AN53" s="10">
        <f t="shared" si="12"/>
        <v>99.52766689395503</v>
      </c>
      <c r="AO53" s="130">
        <f t="shared" si="25"/>
        <v>0.009900990099009653</v>
      </c>
      <c r="AP53" s="131">
        <f t="shared" si="4"/>
        <v>0.2334170344297161</v>
      </c>
      <c r="AR53" s="132">
        <v>-31510.777862363862</v>
      </c>
    </row>
    <row r="54" spans="2:44" ht="12.75">
      <c r="B54" s="14"/>
      <c r="C54" s="151"/>
      <c r="D54" s="16"/>
      <c r="F54" s="10"/>
      <c r="G54" s="158"/>
      <c r="I54" s="16"/>
      <c r="J54">
        <f t="shared" si="5"/>
        <v>2049</v>
      </c>
      <c r="K54" s="133">
        <f t="shared" si="26"/>
        <v>21022.442887915382</v>
      </c>
      <c r="L54" s="119">
        <f t="shared" si="14"/>
        <v>15433.404250648877</v>
      </c>
      <c r="M54" s="10">
        <f t="shared" si="16"/>
        <v>6733.008705513117</v>
      </c>
      <c r="N54" s="166">
        <f t="shared" si="17"/>
        <v>-861.7287279141888</v>
      </c>
      <c r="O54" s="10">
        <f t="shared" si="32"/>
        <v>2741.6634420603677</v>
      </c>
      <c r="P54" s="10">
        <f t="shared" si="32"/>
        <v>1514.9480103064454</v>
      </c>
      <c r="Q54" s="121">
        <f t="shared" si="15"/>
        <v>0</v>
      </c>
      <c r="R54" s="122">
        <v>0.048</v>
      </c>
      <c r="S54" s="10">
        <f t="shared" si="19"/>
        <v>3816.657275201761</v>
      </c>
      <c r="T54" s="10">
        <f t="shared" si="19"/>
        <v>1773.5921678093216</v>
      </c>
      <c r="U54" s="123">
        <f t="shared" si="19"/>
        <v>-284.7846223279483</v>
      </c>
      <c r="V54" s="124">
        <f t="shared" si="7"/>
        <v>5589.038637266505</v>
      </c>
      <c r="W54" s="125">
        <f t="shared" si="13"/>
        <v>-37102.053924444896</v>
      </c>
      <c r="X54">
        <f t="shared" si="27"/>
        <v>111751.18183424251</v>
      </c>
      <c r="Y54" s="16">
        <f t="shared" si="1"/>
        <v>0.1881183048166542</v>
      </c>
      <c r="Z54" s="16">
        <f t="shared" si="2"/>
        <v>0.1381050651754254</v>
      </c>
      <c r="AA54" s="136">
        <f t="shared" si="8"/>
        <v>-0.33200591989691314</v>
      </c>
      <c r="AB54" s="15">
        <f t="shared" si="9"/>
        <v>-3320.0591989691316</v>
      </c>
      <c r="AC54" s="127">
        <f t="shared" si="10"/>
        <v>0.05253886250892306</v>
      </c>
      <c r="AD54" s="16">
        <f t="shared" si="36"/>
        <v>0.060250000000000054</v>
      </c>
      <c r="AE54" s="128">
        <f t="shared" si="28"/>
        <v>0.35552879122461983</v>
      </c>
      <c r="AF54" s="129">
        <f t="shared" si="21"/>
        <v>7207.760690431885</v>
      </c>
      <c r="AG54" s="8">
        <f t="shared" si="29"/>
        <v>3250.011134799088</v>
      </c>
      <c r="AH54" s="8">
        <f t="shared" si="30"/>
        <v>10457.771825230973</v>
      </c>
      <c r="AI54" s="10">
        <f t="shared" si="22"/>
        <v>10354.229529931657</v>
      </c>
      <c r="AJ54" s="121">
        <f t="shared" si="34"/>
        <v>742.4041486557352</v>
      </c>
      <c r="AK54" s="10">
        <f t="shared" si="33"/>
        <v>3665.254427936963</v>
      </c>
      <c r="AL54">
        <v>5</v>
      </c>
      <c r="AM54" s="10">
        <f t="shared" si="24"/>
        <v>5941.570953338958</v>
      </c>
      <c r="AN54" s="10">
        <f t="shared" si="12"/>
        <v>103.54229529931581</v>
      </c>
      <c r="AO54" s="130">
        <f t="shared" si="25"/>
        <v>0.009900990099009828</v>
      </c>
      <c r="AP54" s="131">
        <f t="shared" si="4"/>
        <v>0.2307593830983428</v>
      </c>
      <c r="AR54" s="132">
        <v>-37099.81649963037</v>
      </c>
    </row>
    <row r="55" spans="2:44" ht="12.75">
      <c r="B55" s="14"/>
      <c r="C55" s="15"/>
      <c r="D55" s="16"/>
      <c r="F55" s="19" t="s">
        <v>0</v>
      </c>
      <c r="G55" s="165">
        <f>F53+G53</f>
        <v>6145.753248461857</v>
      </c>
      <c r="I55" s="16"/>
      <c r="J55">
        <f t="shared" si="5"/>
        <v>2050</v>
      </c>
      <c r="K55" s="133">
        <f t="shared" si="26"/>
        <v>22178.677246750725</v>
      </c>
      <c r="L55" s="119">
        <f t="shared" si="14"/>
        <v>16124.804191369532</v>
      </c>
      <c r="M55" s="10">
        <f t="shared" si="16"/>
        <v>7073.849810107557</v>
      </c>
      <c r="N55" s="166">
        <f t="shared" si="17"/>
        <v>-905.3515099911726</v>
      </c>
      <c r="O55" s="10">
        <f t="shared" si="32"/>
        <v>2865.0382969530842</v>
      </c>
      <c r="P55" s="10">
        <f t="shared" si="32"/>
        <v>1560.3964506156385</v>
      </c>
      <c r="Q55" s="121">
        <f t="shared" si="15"/>
        <v>0</v>
      </c>
      <c r="R55" s="122">
        <v>0.048</v>
      </c>
      <c r="S55" s="10">
        <f t="shared" si="19"/>
        <v>3969.323566209831</v>
      </c>
      <c r="T55" s="10">
        <f t="shared" si="19"/>
        <v>1853.403815360741</v>
      </c>
      <c r="U55" s="123">
        <f t="shared" si="19"/>
        <v>-291.904237886147</v>
      </c>
      <c r="V55" s="124">
        <f t="shared" si="7"/>
        <v>6053.873055381193</v>
      </c>
      <c r="W55" s="125">
        <f t="shared" si="13"/>
        <v>-43155.92697982609</v>
      </c>
      <c r="X55">
        <f t="shared" si="27"/>
        <v>117897.49683512584</v>
      </c>
      <c r="Y55" s="16">
        <f t="shared" si="1"/>
        <v>0.18811830481665417</v>
      </c>
      <c r="Z55" s="16">
        <f t="shared" si="2"/>
        <v>0.1367696908265942</v>
      </c>
      <c r="AA55" s="136">
        <f t="shared" si="8"/>
        <v>-0.366046168394717</v>
      </c>
      <c r="AB55" s="15">
        <f t="shared" si="9"/>
        <v>-3660.46168394717</v>
      </c>
      <c r="AC55" s="127">
        <f t="shared" si="10"/>
        <v>0.05232085893004786</v>
      </c>
      <c r="AD55" s="16">
        <f t="shared" si="36"/>
        <v>0.06000000000000005</v>
      </c>
      <c r="AE55" s="128">
        <f t="shared" si="28"/>
        <v>0.3521592450958397</v>
      </c>
      <c r="AF55" s="129">
        <f t="shared" si="21"/>
        <v>7532.118370347862</v>
      </c>
      <c r="AG55" s="8">
        <f t="shared" si="29"/>
        <v>3347.51146884306</v>
      </c>
      <c r="AH55" s="8">
        <f t="shared" si="30"/>
        <v>10879.629839190922</v>
      </c>
      <c r="AI55" s="10">
        <f t="shared" si="22"/>
        <v>10771.9107318722</v>
      </c>
      <c r="AJ55" s="121">
        <f t="shared" si="34"/>
        <v>775.8123353452432</v>
      </c>
      <c r="AK55" s="10">
        <f t="shared" si="33"/>
        <v>3811.8646050544407</v>
      </c>
      <c r="AL55">
        <v>5</v>
      </c>
      <c r="AM55" s="10">
        <f t="shared" si="24"/>
        <v>6179.233791472516</v>
      </c>
      <c r="AN55" s="10">
        <f t="shared" si="12"/>
        <v>107.71910731872231</v>
      </c>
      <c r="AO55" s="130">
        <f t="shared" si="25"/>
        <v>0.009900990099009929</v>
      </c>
      <c r="AP55" s="131">
        <f t="shared" si="4"/>
        <v>0.22813643754333085</v>
      </c>
      <c r="AR55" s="132">
        <v>-43153.68955501156</v>
      </c>
    </row>
    <row r="56" spans="6:44" ht="12.75">
      <c r="F56" s="167" t="s">
        <v>95</v>
      </c>
      <c r="G56" s="168" t="s">
        <v>194</v>
      </c>
      <c r="H56" s="167" t="s">
        <v>195</v>
      </c>
      <c r="I56" s="7" t="s">
        <v>16</v>
      </c>
      <c r="R56" s="10"/>
      <c r="S56" s="10"/>
      <c r="T56" s="10"/>
      <c r="Y56" t="s">
        <v>17</v>
      </c>
      <c r="AA56" s="136"/>
      <c r="AB56" s="15"/>
      <c r="AC56" s="15"/>
      <c r="AD56" s="16"/>
      <c r="AH56" s="169"/>
      <c r="AR56" s="25"/>
    </row>
    <row r="57" spans="1:44" ht="12.75">
      <c r="A57" s="22" t="s">
        <v>16</v>
      </c>
      <c r="F57" s="167" t="s">
        <v>52</v>
      </c>
      <c r="G57" s="170">
        <f aca="true" t="shared" si="37" ref="G57:H59">Y64</f>
        <v>0.1881183048166542</v>
      </c>
      <c r="H57" s="170">
        <f t="shared" si="37"/>
        <v>0.1699853694124995</v>
      </c>
      <c r="I57" t="s">
        <v>86</v>
      </c>
      <c r="Y57" s="23" t="s">
        <v>122</v>
      </c>
      <c r="Z57" t="s">
        <v>123</v>
      </c>
      <c r="AA57" s="92"/>
      <c r="AR57" s="25"/>
    </row>
    <row r="58" spans="1:44" ht="12.75">
      <c r="A58" s="171">
        <v>1</v>
      </c>
      <c r="B58" t="s">
        <v>170</v>
      </c>
      <c r="F58" s="167" t="s">
        <v>134</v>
      </c>
      <c r="G58" s="170">
        <f t="shared" si="37"/>
        <v>-0.0025540571757464857</v>
      </c>
      <c r="H58" s="170">
        <f t="shared" si="37"/>
        <v>-0.15303752161186093</v>
      </c>
      <c r="I58" t="s">
        <v>87</v>
      </c>
      <c r="Y58" t="s">
        <v>202</v>
      </c>
      <c r="Z58" t="s">
        <v>202</v>
      </c>
      <c r="AA58" s="92"/>
      <c r="AR58" s="25"/>
    </row>
    <row r="59" spans="1:44" ht="12.75">
      <c r="A59" s="171">
        <v>2</v>
      </c>
      <c r="B59" t="s">
        <v>61</v>
      </c>
      <c r="F59" s="167" t="s">
        <v>135</v>
      </c>
      <c r="G59" s="170">
        <f t="shared" si="37"/>
        <v>0.09882187392905498</v>
      </c>
      <c r="H59" s="170">
        <f t="shared" si="37"/>
        <v>-0.1764274737766497</v>
      </c>
      <c r="I59" t="s">
        <v>159</v>
      </c>
      <c r="AA59" s="92"/>
      <c r="AR59" s="25"/>
    </row>
    <row r="60" spans="1:44" ht="12.75">
      <c r="A60" s="171">
        <v>3</v>
      </c>
      <c r="B60" t="s">
        <v>171</v>
      </c>
      <c r="F60" s="167"/>
      <c r="G60" s="168"/>
      <c r="H60" s="172">
        <f>-H59/G59</f>
        <v>1.7853079157688145</v>
      </c>
      <c r="I60" t="s">
        <v>190</v>
      </c>
      <c r="V60" s="173"/>
      <c r="W60" s="173" t="s">
        <v>14</v>
      </c>
      <c r="X60" s="173"/>
      <c r="Y60" s="174">
        <v>0.1886</v>
      </c>
      <c r="Z60" s="174">
        <v>0.2007</v>
      </c>
      <c r="AA60" s="92"/>
      <c r="AR60" s="25"/>
    </row>
    <row r="61" spans="1:44" ht="12.75">
      <c r="A61" s="171">
        <v>4</v>
      </c>
      <c r="B61" t="s">
        <v>172</v>
      </c>
      <c r="I61" t="s">
        <v>191</v>
      </c>
      <c r="V61" s="173"/>
      <c r="W61" s="175"/>
      <c r="X61" s="173"/>
      <c r="Y61" s="176"/>
      <c r="Z61" s="176"/>
      <c r="AA61" s="92"/>
      <c r="AR61" s="25"/>
    </row>
    <row r="62" spans="1:44" ht="12.75">
      <c r="A62" s="171">
        <v>5</v>
      </c>
      <c r="B62" s="177" t="s">
        <v>200</v>
      </c>
      <c r="I62" t="s">
        <v>192</v>
      </c>
      <c r="V62" s="178"/>
      <c r="W62" s="178" t="s">
        <v>13</v>
      </c>
      <c r="X62" s="173"/>
      <c r="Y62" s="85">
        <v>0.1712</v>
      </c>
      <c r="Z62" s="85">
        <v>0.2064</v>
      </c>
      <c r="AA62" s="92"/>
      <c r="AR62" s="25"/>
    </row>
    <row r="63" spans="1:44" ht="12.75">
      <c r="A63" s="171"/>
      <c r="B63" t="s">
        <v>201</v>
      </c>
      <c r="I63" t="s">
        <v>50</v>
      </c>
      <c r="AA63" s="92"/>
      <c r="AR63" s="25"/>
    </row>
    <row r="64" spans="1:44" ht="12.75">
      <c r="A64" s="171">
        <v>6</v>
      </c>
      <c r="B64" t="s">
        <v>90</v>
      </c>
      <c r="I64" s="179">
        <v>1.24</v>
      </c>
      <c r="J64" s="25">
        <f>25000*I64*0.5</f>
        <v>15500</v>
      </c>
      <c r="K64">
        <v>4</v>
      </c>
      <c r="L64">
        <f>J64*K64</f>
        <v>62000</v>
      </c>
      <c r="N64">
        <f>J64*2</f>
        <v>31000</v>
      </c>
      <c r="O64" t="s">
        <v>212</v>
      </c>
      <c r="W64" s="25" t="s">
        <v>51</v>
      </c>
      <c r="Y64" s="180">
        <f>AVERAGE(Y25:Y50)</f>
        <v>0.1881183048166542</v>
      </c>
      <c r="Z64" s="180">
        <f>AVERAGE(Z25:Z50)</f>
        <v>0.1699853694124995</v>
      </c>
      <c r="AA64" s="92"/>
      <c r="AR64" s="25"/>
    </row>
    <row r="65" spans="1:44" ht="12.75">
      <c r="A65" s="171">
        <v>7</v>
      </c>
      <c r="B65" t="s">
        <v>162</v>
      </c>
      <c r="I65" s="23" t="s">
        <v>205</v>
      </c>
      <c r="J65" s="25">
        <f>15000*I64</f>
        <v>18600</v>
      </c>
      <c r="K65">
        <v>6</v>
      </c>
      <c r="L65">
        <f>J65*K65</f>
        <v>111600</v>
      </c>
      <c r="N65">
        <f>J65</f>
        <v>18600</v>
      </c>
      <c r="O65" t="s">
        <v>76</v>
      </c>
      <c r="V65" t="s">
        <v>73</v>
      </c>
      <c r="Y65" s="15">
        <f>(Y64-Y60)/Y60</f>
        <v>-0.0025540571757464857</v>
      </c>
      <c r="Z65" s="15">
        <f>(Z64-Z60)/Z60</f>
        <v>-0.15303752161186093</v>
      </c>
      <c r="AA65" s="92"/>
      <c r="AR65" s="25"/>
    </row>
    <row r="66" spans="1:44" ht="12.75">
      <c r="A66" s="171">
        <v>8</v>
      </c>
      <c r="B66" t="s">
        <v>64</v>
      </c>
      <c r="F66" s="64"/>
      <c r="J66" s="25">
        <f>J65/12</f>
        <v>1550</v>
      </c>
      <c r="K66" t="s">
        <v>178</v>
      </c>
      <c r="L66">
        <f>(L64+L65)/10</f>
        <v>17360</v>
      </c>
      <c r="M66" t="s">
        <v>207</v>
      </c>
      <c r="V66" t="s">
        <v>72</v>
      </c>
      <c r="Y66" s="181">
        <f>(Y64-Y62)/Y62</f>
        <v>0.09882187392905498</v>
      </c>
      <c r="Z66" s="181">
        <f>(Z64-Z62)/Z62</f>
        <v>-0.1764274737766497</v>
      </c>
      <c r="AA66" s="92"/>
      <c r="AR66" s="25"/>
    </row>
    <row r="67" spans="1:44" ht="12.75">
      <c r="A67" s="17"/>
      <c r="B67" t="s">
        <v>108</v>
      </c>
      <c r="J67" s="9"/>
      <c r="K67"/>
      <c r="M67" s="7"/>
      <c r="Z67" s="182">
        <f>-Z66/Y66</f>
        <v>1.7853079157688145</v>
      </c>
      <c r="AA67" s="92"/>
      <c r="AR67" s="25"/>
    </row>
    <row r="68" spans="1:44" ht="12.75">
      <c r="A68" s="17"/>
      <c r="B68">
        <v>75</v>
      </c>
      <c r="C68">
        <v>243</v>
      </c>
      <c r="D68" s="64">
        <v>598</v>
      </c>
      <c r="E68" s="64">
        <f>B68+C68+D68</f>
        <v>916</v>
      </c>
      <c r="J68" s="23" t="s">
        <v>181</v>
      </c>
      <c r="K68">
        <f>64-10</f>
        <v>54</v>
      </c>
      <c r="M68" s="7"/>
      <c r="AA68" s="92"/>
      <c r="AR68" s="25"/>
    </row>
    <row r="69" spans="10:44" ht="12.75">
      <c r="J69" s="23" t="s">
        <v>206</v>
      </c>
      <c r="K69" s="183">
        <f>L66/1000*(1+L69)^10</f>
        <v>22.22226768724876</v>
      </c>
      <c r="L69" s="46">
        <f>$J$7</f>
        <v>0.025</v>
      </c>
      <c r="M69" s="25" t="s">
        <v>208</v>
      </c>
      <c r="AA69" s="92"/>
      <c r="AR69" s="25"/>
    </row>
    <row r="70" spans="1:44" ht="12.75">
      <c r="A70" s="184">
        <v>9</v>
      </c>
      <c r="B70" s="36" t="s">
        <v>56</v>
      </c>
      <c r="C70" s="25">
        <v>86855089</v>
      </c>
      <c r="D70" s="49"/>
      <c r="E70" s="185"/>
      <c r="F70" s="186"/>
      <c r="G70" s="36" t="s">
        <v>54</v>
      </c>
      <c r="H70"/>
      <c r="J70" s="23" t="s">
        <v>204</v>
      </c>
      <c r="K70">
        <f>K68*K69</f>
        <v>1200.002455111433</v>
      </c>
      <c r="M70" s="7"/>
      <c r="AA70" s="92"/>
      <c r="AR70" s="25"/>
    </row>
    <row r="71" spans="1:44" ht="12.75">
      <c r="A71" s="187"/>
      <c r="B71" s="36" t="s">
        <v>57</v>
      </c>
      <c r="C71" s="25">
        <v>53639038</v>
      </c>
      <c r="D71" s="149">
        <v>107278076</v>
      </c>
      <c r="E71" s="166">
        <v>5000</v>
      </c>
      <c r="F71" s="186"/>
      <c r="G71" s="25"/>
      <c r="H71"/>
      <c r="K71" s="188">
        <f>(J84-K70)/(J84)</f>
        <v>0.1174821056240037</v>
      </c>
      <c r="M71" s="177">
        <v>0.2</v>
      </c>
      <c r="AA71" s="92"/>
      <c r="AR71" s="25"/>
    </row>
    <row r="72" spans="1:44" ht="12.75">
      <c r="A72" s="187"/>
      <c r="B72" s="189"/>
      <c r="C72" s="25"/>
      <c r="D72" s="149">
        <v>194133165</v>
      </c>
      <c r="E72" s="166"/>
      <c r="F72" s="186"/>
      <c r="G72" s="25"/>
      <c r="H72"/>
      <c r="K72" s="36" t="s">
        <v>48</v>
      </c>
      <c r="M72" t="s">
        <v>48</v>
      </c>
      <c r="AA72" s="92"/>
      <c r="AR72" s="25"/>
    </row>
    <row r="73" spans="1:44" ht="12.75">
      <c r="A73" s="190"/>
      <c r="B73" s="189"/>
      <c r="C73" s="25" t="s">
        <v>119</v>
      </c>
      <c r="D73" s="191" t="s">
        <v>41</v>
      </c>
      <c r="E73" s="185" t="s">
        <v>47</v>
      </c>
      <c r="F73" s="192" t="s">
        <v>228</v>
      </c>
      <c r="G73" s="25"/>
      <c r="H73"/>
      <c r="J73" t="s">
        <v>179</v>
      </c>
      <c r="K73" s="36">
        <v>10</v>
      </c>
      <c r="L73" s="25" t="s">
        <v>180</v>
      </c>
      <c r="M73">
        <v>15</v>
      </c>
      <c r="N73" t="s">
        <v>49</v>
      </c>
      <c r="S73" s="25"/>
      <c r="AA73" s="92"/>
      <c r="AR73" s="25"/>
    </row>
    <row r="74" spans="1:44" ht="12.75">
      <c r="A74" s="190"/>
      <c r="B74" s="193" t="s">
        <v>92</v>
      </c>
      <c r="C74" s="25">
        <v>54908832</v>
      </c>
      <c r="D74" s="191">
        <v>60399715.2</v>
      </c>
      <c r="E74" s="53">
        <v>25000</v>
      </c>
      <c r="F74" s="186">
        <f>D74*E74/1000000000</f>
        <v>1509.99288</v>
      </c>
      <c r="G74" s="194"/>
      <c r="H74"/>
      <c r="I74">
        <v>2014</v>
      </c>
      <c r="J74" s="10">
        <f>M19*0.8</f>
        <v>713.6896</v>
      </c>
      <c r="K74" s="125"/>
      <c r="L74" s="10">
        <f>M19*0.17</f>
        <v>151.65904</v>
      </c>
      <c r="M74" s="10">
        <f aca="true" t="shared" si="38" ref="M74:M88">-$L74*(M$71/M$73)*($I74-2013)</f>
        <v>-2.0221205333333336</v>
      </c>
      <c r="N74" s="10">
        <f>K74+M74</f>
        <v>-2.0221205333333336</v>
      </c>
      <c r="AA74" s="92"/>
      <c r="AR74" s="25"/>
    </row>
    <row r="75" spans="1:44" ht="12.75">
      <c r="A75" s="190"/>
      <c r="B75" s="193" t="s">
        <v>93</v>
      </c>
      <c r="C75" s="25">
        <v>62819226</v>
      </c>
      <c r="D75" s="191">
        <v>81664993.8</v>
      </c>
      <c r="E75" s="53">
        <v>15000</v>
      </c>
      <c r="F75" s="186">
        <f>D75*E75/1000000000</f>
        <v>1224.974907</v>
      </c>
      <c r="G75" s="193"/>
      <c r="H75"/>
      <c r="I75">
        <f>I74+1</f>
        <v>2015</v>
      </c>
      <c r="J75" s="10">
        <f aca="true" t="shared" si="39" ref="J75:J110">M20*0.8</f>
        <v>761.6303264</v>
      </c>
      <c r="K75" s="125"/>
      <c r="L75" s="10">
        <f aca="true" t="shared" si="40" ref="L75:L110">M20*0.17</f>
        <v>161.84644436</v>
      </c>
      <c r="M75" s="10">
        <f t="shared" si="38"/>
        <v>-4.315905182933333</v>
      </c>
      <c r="N75" s="10">
        <f aca="true" t="shared" si="41" ref="N75:N110">K75+M75</f>
        <v>-4.315905182933333</v>
      </c>
      <c r="S75" s="10"/>
      <c r="AA75" s="92"/>
      <c r="AR75" s="25"/>
    </row>
    <row r="76" spans="1:44" ht="12.75">
      <c r="A76" s="190"/>
      <c r="B76" s="193" t="s">
        <v>94</v>
      </c>
      <c r="C76" s="25">
        <v>21496275</v>
      </c>
      <c r="D76" s="191">
        <v>23645902.500000004</v>
      </c>
      <c r="E76" s="53">
        <v>20000</v>
      </c>
      <c r="F76" s="186">
        <f>D76*E76/1000000000</f>
        <v>472.91805000000005</v>
      </c>
      <c r="G76" s="193"/>
      <c r="H76"/>
      <c r="I76">
        <f aca="true" t="shared" si="42" ref="I76:I110">I75+1</f>
        <v>2016</v>
      </c>
      <c r="J76" s="10">
        <f t="shared" si="39"/>
        <v>812.6856216639999</v>
      </c>
      <c r="K76" s="125"/>
      <c r="L76" s="10">
        <f t="shared" si="40"/>
        <v>172.69569460359997</v>
      </c>
      <c r="M76" s="10">
        <f t="shared" si="38"/>
        <v>-6.907827784143999</v>
      </c>
      <c r="N76" s="10">
        <f t="shared" si="41"/>
        <v>-6.907827784143999</v>
      </c>
      <c r="S76" s="10"/>
      <c r="AA76" s="92"/>
      <c r="AR76" s="25"/>
    </row>
    <row r="77" spans="1:44" ht="12.75">
      <c r="A77" s="190"/>
      <c r="B77" s="193" t="s">
        <v>227</v>
      </c>
      <c r="C77" s="25">
        <v>80000000</v>
      </c>
      <c r="D77" s="191">
        <v>80000000</v>
      </c>
      <c r="E77" s="53">
        <v>5000</v>
      </c>
      <c r="F77" s="186">
        <f>D77*E77/1000000000</f>
        <v>400</v>
      </c>
      <c r="G77" s="193"/>
      <c r="H77"/>
      <c r="I77">
        <f t="shared" si="42"/>
        <v>2017</v>
      </c>
      <c r="J77" s="10">
        <f t="shared" si="39"/>
        <v>867.0530676696799</v>
      </c>
      <c r="K77" s="125"/>
      <c r="L77" s="10">
        <f t="shared" si="40"/>
        <v>184.248776879807</v>
      </c>
      <c r="M77" s="10">
        <f t="shared" si="38"/>
        <v>-9.826601433589707</v>
      </c>
      <c r="N77" s="10">
        <f t="shared" si="41"/>
        <v>-9.826601433589707</v>
      </c>
      <c r="S77" s="10"/>
      <c r="AA77" s="92"/>
      <c r="AR77" s="25"/>
    </row>
    <row r="78" spans="1:44" ht="12.75">
      <c r="A78" s="190"/>
      <c r="B78" s="193"/>
      <c r="C78" s="25"/>
      <c r="D78" s="191"/>
      <c r="E78" s="185"/>
      <c r="F78" s="186"/>
      <c r="G78" s="193"/>
      <c r="H78"/>
      <c r="I78">
        <f t="shared" si="42"/>
        <v>2018</v>
      </c>
      <c r="J78" s="10">
        <f t="shared" si="39"/>
        <v>924.9425587304512</v>
      </c>
      <c r="K78" s="125"/>
      <c r="L78" s="10">
        <f t="shared" si="40"/>
        <v>196.5502937302209</v>
      </c>
      <c r="M78" s="10">
        <f t="shared" si="38"/>
        <v>-13.103352915348061</v>
      </c>
      <c r="N78" s="10">
        <f t="shared" si="41"/>
        <v>-13.103352915348061</v>
      </c>
      <c r="S78" s="10"/>
      <c r="AR78" s="25"/>
    </row>
    <row r="79" spans="1:44" ht="12.75">
      <c r="A79" s="190"/>
      <c r="B79" s="193" t="s">
        <v>91</v>
      </c>
      <c r="C79" s="25">
        <v>274133165</v>
      </c>
      <c r="D79" s="149">
        <v>306110326.7</v>
      </c>
      <c r="E79" s="185"/>
      <c r="F79" s="186">
        <f>SUM(F74:F77)</f>
        <v>3607.8858370000003</v>
      </c>
      <c r="G79" s="195"/>
      <c r="H79"/>
      <c r="I79">
        <f t="shared" si="42"/>
        <v>2019</v>
      </c>
      <c r="J79" s="10">
        <f t="shared" si="39"/>
        <v>986.5770582782066</v>
      </c>
      <c r="K79" s="125"/>
      <c r="L79" s="10">
        <f t="shared" si="40"/>
        <v>209.6476248841189</v>
      </c>
      <c r="M79" s="10">
        <f t="shared" si="38"/>
        <v>-16.771809990729516</v>
      </c>
      <c r="N79" s="10">
        <f t="shared" si="41"/>
        <v>-16.771809990729516</v>
      </c>
      <c r="S79" s="10"/>
      <c r="AR79" s="25"/>
    </row>
    <row r="80" spans="1:44" ht="13.5">
      <c r="A80"/>
      <c r="B80" s="193"/>
      <c r="C80" s="25" t="s">
        <v>120</v>
      </c>
      <c r="D80" s="49"/>
      <c r="E80" s="185"/>
      <c r="F80" s="196">
        <v>0.1</v>
      </c>
      <c r="G80" s="197" t="s">
        <v>53</v>
      </c>
      <c r="H80"/>
      <c r="I80">
        <f t="shared" si="42"/>
        <v>2020</v>
      </c>
      <c r="J80" s="10">
        <f t="shared" si="39"/>
        <v>1052.1934015360553</v>
      </c>
      <c r="K80" s="125"/>
      <c r="L80" s="10">
        <f t="shared" si="40"/>
        <v>223.59109782641173</v>
      </c>
      <c r="M80" s="10">
        <f t="shared" si="38"/>
        <v>-20.86850246379843</v>
      </c>
      <c r="N80" s="10">
        <f t="shared" si="41"/>
        <v>-20.86850246379843</v>
      </c>
      <c r="S80" s="10"/>
      <c r="AR80" s="25"/>
    </row>
    <row r="81" spans="1:44" ht="13.5">
      <c r="A81"/>
      <c r="B81" s="193"/>
      <c r="C81" s="198"/>
      <c r="D81" s="49"/>
      <c r="E81" s="185"/>
      <c r="F81" s="186">
        <f>F79*(1-F80)</f>
        <v>3247.0972533000004</v>
      </c>
      <c r="G81" s="197" t="s">
        <v>58</v>
      </c>
      <c r="H81"/>
      <c r="I81">
        <f t="shared" si="42"/>
        <v>2021</v>
      </c>
      <c r="J81" s="10">
        <f t="shared" si="39"/>
        <v>1122.0431469509756</v>
      </c>
      <c r="K81" s="125"/>
      <c r="L81" s="10">
        <f t="shared" si="40"/>
        <v>238.43416872708235</v>
      </c>
      <c r="M81" s="10">
        <f t="shared" si="38"/>
        <v>-25.43297799755545</v>
      </c>
      <c r="N81" s="10">
        <f t="shared" si="41"/>
        <v>-25.43297799755545</v>
      </c>
      <c r="S81" s="10"/>
      <c r="AR81" s="25"/>
    </row>
    <row r="82" spans="1:44" ht="12.75">
      <c r="A82"/>
      <c r="B82" s="25"/>
      <c r="C82" s="25"/>
      <c r="D82" s="49"/>
      <c r="E82" s="188" t="s">
        <v>196</v>
      </c>
      <c r="F82" s="158">
        <f>F81*1000000000/D79</f>
        <v>10607.604416045337</v>
      </c>
      <c r="G82" s="25"/>
      <c r="H82"/>
      <c r="I82">
        <f t="shared" si="42"/>
        <v>2022</v>
      </c>
      <c r="J82" s="10">
        <f t="shared" si="39"/>
        <v>1196.393479321891</v>
      </c>
      <c r="K82" s="125"/>
      <c r="L82" s="10">
        <f t="shared" si="40"/>
        <v>254.23361435590184</v>
      </c>
      <c r="M82" s="10">
        <f t="shared" si="38"/>
        <v>-30.508033722708223</v>
      </c>
      <c r="N82" s="10">
        <f t="shared" si="41"/>
        <v>-30.508033722708223</v>
      </c>
      <c r="S82" s="10"/>
      <c r="AR82" s="25"/>
    </row>
    <row r="83" spans="9:44" ht="12.75">
      <c r="I83">
        <f t="shared" si="42"/>
        <v>2023</v>
      </c>
      <c r="J83" s="10">
        <f t="shared" si="39"/>
        <v>1275.52816773408</v>
      </c>
      <c r="K83" s="125"/>
      <c r="L83" s="10">
        <f t="shared" si="40"/>
        <v>271.04973564349194</v>
      </c>
      <c r="M83" s="10">
        <f t="shared" si="38"/>
        <v>-36.139964752465595</v>
      </c>
      <c r="N83" s="10">
        <f t="shared" si="41"/>
        <v>-36.139964752465595</v>
      </c>
      <c r="S83" s="10"/>
      <c r="AR83" s="25"/>
    </row>
    <row r="84" spans="1:44" ht="12.75">
      <c r="A84" s="13">
        <v>10</v>
      </c>
      <c r="B84" t="s">
        <v>125</v>
      </c>
      <c r="I84">
        <f t="shared" si="42"/>
        <v>2024</v>
      </c>
      <c r="J84" s="10">
        <f t="shared" si="39"/>
        <v>1359.748581596661</v>
      </c>
      <c r="K84" s="132">
        <f aca="true" t="shared" si="43" ref="K84:K93">-$J84*(K$71/K$73)*($I84-2023)</f>
        <v>-15.974612648522815</v>
      </c>
      <c r="L84" s="10">
        <f t="shared" si="40"/>
        <v>288.9465735892905</v>
      </c>
      <c r="M84" s="10">
        <f t="shared" si="38"/>
        <v>-42.37883079309594</v>
      </c>
      <c r="N84" s="10">
        <f t="shared" si="41"/>
        <v>-58.35344344161876</v>
      </c>
      <c r="S84" s="10"/>
      <c r="AR84" s="25"/>
    </row>
    <row r="85" spans="2:44" ht="12.75">
      <c r="B85" t="s">
        <v>126</v>
      </c>
      <c r="C85" s="7"/>
      <c r="I85">
        <f t="shared" si="42"/>
        <v>2025</v>
      </c>
      <c r="J85" s="10">
        <f t="shared" si="39"/>
        <v>1449.3747682767307</v>
      </c>
      <c r="K85" s="132">
        <f t="shared" si="43"/>
        <v>-34.05511992309055</v>
      </c>
      <c r="L85" s="10">
        <f t="shared" si="40"/>
        <v>307.9921382588053</v>
      </c>
      <c r="M85" s="10">
        <f t="shared" si="38"/>
        <v>-49.278742121408854</v>
      </c>
      <c r="N85" s="10">
        <f t="shared" si="41"/>
        <v>-83.3338620444994</v>
      </c>
      <c r="AR85" s="25"/>
    </row>
    <row r="86" spans="2:44" ht="12.75">
      <c r="B86" t="s">
        <v>124</v>
      </c>
      <c r="C86" s="7"/>
      <c r="I86">
        <f t="shared" si="42"/>
        <v>2026</v>
      </c>
      <c r="J86" s="10">
        <f t="shared" si="39"/>
        <v>1544.746596032278</v>
      </c>
      <c r="K86" s="132">
        <f t="shared" si="43"/>
        <v>-54.44402482721527</v>
      </c>
      <c r="L86" s="10">
        <f t="shared" si="40"/>
        <v>328.25865165685906</v>
      </c>
      <c r="M86" s="10">
        <f t="shared" si="38"/>
        <v>-56.89816628718891</v>
      </c>
      <c r="N86" s="10">
        <f t="shared" si="41"/>
        <v>-111.34219111440419</v>
      </c>
      <c r="AR86" s="25"/>
    </row>
    <row r="87" spans="9:44" ht="12.75">
      <c r="I87">
        <f t="shared" si="42"/>
        <v>2027</v>
      </c>
      <c r="J87" s="10">
        <f t="shared" si="39"/>
        <v>1646.2249661668986</v>
      </c>
      <c r="K87" s="132">
        <f t="shared" si="43"/>
        <v>-77.3607901424366</v>
      </c>
      <c r="L87" s="10">
        <f t="shared" si="40"/>
        <v>349.822805310466</v>
      </c>
      <c r="M87" s="10">
        <f t="shared" si="38"/>
        <v>-65.300256991287</v>
      </c>
      <c r="N87" s="10">
        <f t="shared" si="41"/>
        <v>-142.6610471337236</v>
      </c>
      <c r="AR87" s="25"/>
    </row>
    <row r="88" spans="9:44" ht="12.75">
      <c r="I88">
        <f t="shared" si="42"/>
        <v>2028</v>
      </c>
      <c r="J88" s="10">
        <f t="shared" si="39"/>
        <v>1754.1930985633296</v>
      </c>
      <c r="K88" s="132">
        <f t="shared" si="43"/>
        <v>-103.0431494451577</v>
      </c>
      <c r="L88" s="10">
        <f t="shared" si="40"/>
        <v>372.76603344470755</v>
      </c>
      <c r="M88" s="10">
        <f t="shared" si="38"/>
        <v>-74.55320668894151</v>
      </c>
      <c r="N88" s="10">
        <f t="shared" si="41"/>
        <v>-177.5963561340992</v>
      </c>
      <c r="AR88" s="25"/>
    </row>
    <row r="89" spans="1:44" ht="12.75">
      <c r="A89" s="199"/>
      <c r="B89" s="108"/>
      <c r="C89" s="200"/>
      <c r="D89" s="201"/>
      <c r="E89" s="202"/>
      <c r="F89" s="203"/>
      <c r="G89" s="108"/>
      <c r="H89" s="203"/>
      <c r="I89">
        <f t="shared" si="42"/>
        <v>2029</v>
      </c>
      <c r="J89" s="10">
        <f t="shared" si="39"/>
        <v>1869.057895000713</v>
      </c>
      <c r="K89" s="132">
        <f t="shared" si="43"/>
        <v>-131.74851422271107</v>
      </c>
      <c r="L89" s="10">
        <f t="shared" si="40"/>
        <v>397.17480268765155</v>
      </c>
      <c r="M89" s="10">
        <f aca="true" t="shared" si="44" ref="M89:M110">-$L89*M$71</f>
        <v>-79.43496053753032</v>
      </c>
      <c r="N89" s="10">
        <f t="shared" si="41"/>
        <v>-211.18347476024138</v>
      </c>
      <c r="Q89" s="177"/>
      <c r="R89" s="177"/>
      <c r="AR89" s="25"/>
    </row>
    <row r="90" spans="2:44" ht="12.75">
      <c r="B90" t="s">
        <v>210</v>
      </c>
      <c r="C90" s="23" t="s">
        <v>21</v>
      </c>
      <c r="D90" s="70" t="s">
        <v>21</v>
      </c>
      <c r="F90" s="16" t="s">
        <v>29</v>
      </c>
      <c r="I90">
        <f t="shared" si="42"/>
        <v>2030</v>
      </c>
      <c r="J90" s="10">
        <f t="shared" si="39"/>
        <v>1991.2513849230545</v>
      </c>
      <c r="K90" s="132">
        <f t="shared" si="43"/>
        <v>-163.75548386923174</v>
      </c>
      <c r="L90" s="10">
        <f t="shared" si="40"/>
        <v>423.1409192961491</v>
      </c>
      <c r="M90" s="10">
        <f t="shared" si="44"/>
        <v>-84.62818385922982</v>
      </c>
      <c r="N90" s="10">
        <f t="shared" si="41"/>
        <v>-248.38366772846155</v>
      </c>
      <c r="AR90" s="25"/>
    </row>
    <row r="91" spans="2:44" ht="12.75">
      <c r="B91" t="s">
        <v>25</v>
      </c>
      <c r="C91" s="23" t="s">
        <v>19</v>
      </c>
      <c r="D91" s="70" t="s">
        <v>24</v>
      </c>
      <c r="F91" s="165">
        <v>2007</v>
      </c>
      <c r="I91">
        <f t="shared" si="42"/>
        <v>2031</v>
      </c>
      <c r="J91" s="10">
        <f t="shared" si="39"/>
        <v>2121.232258604477</v>
      </c>
      <c r="K91" s="132">
        <f t="shared" si="43"/>
        <v>-199.36546580673206</v>
      </c>
      <c r="L91" s="10">
        <f t="shared" si="40"/>
        <v>450.76185495345135</v>
      </c>
      <c r="M91" s="10">
        <f t="shared" si="44"/>
        <v>-90.15237099069027</v>
      </c>
      <c r="N91" s="10">
        <f t="shared" si="41"/>
        <v>-289.5178367974223</v>
      </c>
      <c r="P91" s="23"/>
      <c r="Q91" s="132"/>
      <c r="R91" s="25"/>
      <c r="S91" s="132"/>
      <c r="AR91" s="25"/>
    </row>
    <row r="92" spans="2:44" ht="12.75">
      <c r="B92" s="177">
        <v>0.1</v>
      </c>
      <c r="C92" s="204">
        <v>0.77</v>
      </c>
      <c r="D92" s="205">
        <f>E68*1000</f>
        <v>916000</v>
      </c>
      <c r="F92" s="158">
        <v>5842</v>
      </c>
      <c r="I92">
        <f t="shared" si="42"/>
        <v>2032</v>
      </c>
      <c r="J92" s="10">
        <f t="shared" si="39"/>
        <v>2259.4874929514626</v>
      </c>
      <c r="K92" s="132">
        <f t="shared" si="43"/>
        <v>-238.90441347273514</v>
      </c>
      <c r="L92" s="10">
        <f t="shared" si="40"/>
        <v>480.14109225218584</v>
      </c>
      <c r="M92" s="10">
        <f t="shared" si="44"/>
        <v>-96.02821845043718</v>
      </c>
      <c r="N92" s="10">
        <f t="shared" si="41"/>
        <v>-334.9326319231723</v>
      </c>
      <c r="Q92" s="132"/>
      <c r="R92" s="25"/>
      <c r="S92" s="132"/>
      <c r="AR92" s="25"/>
    </row>
    <row r="93" spans="2:44" ht="12.75">
      <c r="B93" s="23" t="s">
        <v>18</v>
      </c>
      <c r="C93" s="23" t="s">
        <v>20</v>
      </c>
      <c r="D93" s="70" t="s">
        <v>23</v>
      </c>
      <c r="F93" s="158">
        <f>F92*0.1</f>
        <v>584.2</v>
      </c>
      <c r="I93">
        <f t="shared" si="42"/>
        <v>2033</v>
      </c>
      <c r="J93" s="10">
        <f t="shared" si="39"/>
        <v>2406.5340754943386</v>
      </c>
      <c r="K93" s="132">
        <f t="shared" si="43"/>
        <v>-282.72469044498996</v>
      </c>
      <c r="L93" s="10">
        <f t="shared" si="40"/>
        <v>511.388491042547</v>
      </c>
      <c r="M93" s="10">
        <f t="shared" si="44"/>
        <v>-102.2776982085094</v>
      </c>
      <c r="N93" s="10">
        <f t="shared" si="41"/>
        <v>-385.00238865349934</v>
      </c>
      <c r="Q93" s="132"/>
      <c r="R93" s="25"/>
      <c r="S93" s="132"/>
      <c r="AR93" s="25"/>
    </row>
    <row r="94" spans="2:44" ht="12.75">
      <c r="B94" s="206">
        <f>121000000*B92/1000000</f>
        <v>12.1</v>
      </c>
      <c r="C94" s="23">
        <f>C92*68000</f>
        <v>52360</v>
      </c>
      <c r="D94" s="207">
        <f>C94-(B94*D92/1000)</f>
        <v>41276.4</v>
      </c>
      <c r="F94" s="158">
        <v>321</v>
      </c>
      <c r="I94">
        <f t="shared" si="42"/>
        <v>2034</v>
      </c>
      <c r="J94" s="10">
        <f t="shared" si="39"/>
        <v>2562.920832450753</v>
      </c>
      <c r="K94" s="132">
        <f aca="true" t="shared" si="45" ref="K94:K110">-J94*K$71</f>
        <v>-301.09733594393884</v>
      </c>
      <c r="L94" s="10">
        <f t="shared" si="40"/>
        <v>544.6206768957851</v>
      </c>
      <c r="M94" s="10">
        <f t="shared" si="44"/>
        <v>-108.92413537915702</v>
      </c>
      <c r="N94" s="10">
        <f t="shared" si="41"/>
        <v>-410.02147132309585</v>
      </c>
      <c r="Q94" s="132"/>
      <c r="R94" s="25"/>
      <c r="S94" s="132"/>
      <c r="AR94" s="25"/>
    </row>
    <row r="95" spans="2:44" ht="12.75">
      <c r="B95" s="23" t="s">
        <v>209</v>
      </c>
      <c r="C95" s="204" t="s">
        <v>22</v>
      </c>
      <c r="D95" s="207">
        <f>D94*C96</f>
        <v>825.528</v>
      </c>
      <c r="F95" s="158">
        <f>1730*0.7+80</f>
        <v>1291</v>
      </c>
      <c r="I95">
        <f t="shared" si="42"/>
        <v>2035</v>
      </c>
      <c r="J95" s="10">
        <f t="shared" si="39"/>
        <v>2693.319441211187</v>
      </c>
      <c r="K95" s="132">
        <f t="shared" si="45"/>
        <v>-316.4168390715553</v>
      </c>
      <c r="L95" s="10">
        <f t="shared" si="40"/>
        <v>572.3303812573772</v>
      </c>
      <c r="M95" s="10">
        <f t="shared" si="44"/>
        <v>-114.46607625147544</v>
      </c>
      <c r="N95" s="10">
        <f t="shared" si="41"/>
        <v>-430.8829153230307</v>
      </c>
      <c r="Q95" s="132"/>
      <c r="R95" s="25"/>
      <c r="S95" s="132"/>
      <c r="AR95" s="25"/>
    </row>
    <row r="96" spans="3:44" ht="12.75">
      <c r="C96" s="14">
        <v>0.02</v>
      </c>
      <c r="F96" s="158">
        <f>335*0.9</f>
        <v>301.5</v>
      </c>
      <c r="I96">
        <f t="shared" si="42"/>
        <v>2036</v>
      </c>
      <c r="J96" s="10">
        <f t="shared" si="39"/>
        <v>2830.309061417105</v>
      </c>
      <c r="K96" s="132">
        <f t="shared" si="45"/>
        <v>-332.5106681019791</v>
      </c>
      <c r="L96" s="10">
        <f t="shared" si="40"/>
        <v>601.4406755511349</v>
      </c>
      <c r="M96" s="10">
        <f t="shared" si="44"/>
        <v>-120.28813511022697</v>
      </c>
      <c r="N96" s="10">
        <f t="shared" si="41"/>
        <v>-452.79880321220605</v>
      </c>
      <c r="Q96" s="132"/>
      <c r="R96" s="25"/>
      <c r="S96" s="132"/>
      <c r="AR96" s="25"/>
    </row>
    <row r="97" spans="3:44" ht="12.75">
      <c r="C97" s="177"/>
      <c r="D97" s="70"/>
      <c r="F97" s="158">
        <v>547</v>
      </c>
      <c r="I97">
        <f t="shared" si="42"/>
        <v>2037</v>
      </c>
      <c r="J97" s="10">
        <f t="shared" si="39"/>
        <v>2974.22024853601</v>
      </c>
      <c r="K97" s="132">
        <f t="shared" si="45"/>
        <v>-349.41765738755805</v>
      </c>
      <c r="L97" s="10">
        <f t="shared" si="40"/>
        <v>632.0218028139021</v>
      </c>
      <c r="M97" s="10">
        <f t="shared" si="44"/>
        <v>-126.40436056278043</v>
      </c>
      <c r="N97" s="10">
        <f t="shared" si="41"/>
        <v>-475.8220179503385</v>
      </c>
      <c r="Q97" s="132"/>
      <c r="R97" s="25"/>
      <c r="S97" s="132"/>
      <c r="AR97" s="25"/>
    </row>
    <row r="98" spans="6:44" ht="12.75">
      <c r="F98" s="158">
        <v>77</v>
      </c>
      <c r="I98">
        <f t="shared" si="42"/>
        <v>2038</v>
      </c>
      <c r="J98" s="10">
        <f t="shared" si="39"/>
        <v>3125.3999813272076</v>
      </c>
      <c r="K98" s="132">
        <f t="shared" si="45"/>
        <v>-367.1785707235422</v>
      </c>
      <c r="L98" s="10">
        <f t="shared" si="40"/>
        <v>664.1474960320317</v>
      </c>
      <c r="M98" s="10">
        <f t="shared" si="44"/>
        <v>-132.82949920640633</v>
      </c>
      <c r="N98" s="10">
        <f t="shared" si="41"/>
        <v>-500.00806992994853</v>
      </c>
      <c r="Q98" s="132"/>
      <c r="R98" s="25"/>
      <c r="S98" s="132"/>
      <c r="AR98" s="25"/>
    </row>
    <row r="99" spans="6:44" ht="12.75">
      <c r="F99" s="158">
        <v>29</v>
      </c>
      <c r="I99">
        <f t="shared" si="42"/>
        <v>2039</v>
      </c>
      <c r="J99" s="10">
        <f t="shared" si="39"/>
        <v>3284.2124684736154</v>
      </c>
      <c r="K99" s="132">
        <f t="shared" si="45"/>
        <v>-385.8361961128872</v>
      </c>
      <c r="L99" s="10">
        <f t="shared" si="40"/>
        <v>697.8951495506433</v>
      </c>
      <c r="M99" s="10">
        <f t="shared" si="44"/>
        <v>-139.57902991012867</v>
      </c>
      <c r="N99" s="10">
        <f t="shared" si="41"/>
        <v>-525.4152260230159</v>
      </c>
      <c r="Q99" s="132"/>
      <c r="R99" s="25"/>
      <c r="S99" s="132"/>
      <c r="AR99" s="25"/>
    </row>
    <row r="100" spans="6:44" ht="12.75">
      <c r="F100" s="158">
        <v>852</v>
      </c>
      <c r="I100">
        <f t="shared" si="42"/>
        <v>2040</v>
      </c>
      <c r="J100" s="10">
        <f t="shared" si="39"/>
        <v>3451.0399942626136</v>
      </c>
      <c r="K100" s="132">
        <f t="shared" si="45"/>
        <v>-405.4354451186215</v>
      </c>
      <c r="L100" s="10">
        <f t="shared" si="40"/>
        <v>733.3459987808054</v>
      </c>
      <c r="M100" s="10">
        <f t="shared" si="44"/>
        <v>-146.66919975616108</v>
      </c>
      <c r="N100" s="10">
        <f t="shared" si="41"/>
        <v>-552.1046448747826</v>
      </c>
      <c r="Q100" s="132"/>
      <c r="R100" s="25"/>
      <c r="S100" s="132"/>
      <c r="AR100" s="25"/>
    </row>
    <row r="101" spans="6:44" ht="12.75">
      <c r="F101" s="158">
        <v>585</v>
      </c>
      <c r="I101">
        <f t="shared" si="42"/>
        <v>2041</v>
      </c>
      <c r="J101" s="10">
        <f t="shared" si="39"/>
        <v>3626.283805171269</v>
      </c>
      <c r="K101" s="132">
        <f t="shared" si="45"/>
        <v>-426.02345702174506</v>
      </c>
      <c r="L101" s="10">
        <f t="shared" si="40"/>
        <v>770.5853085988946</v>
      </c>
      <c r="M101" s="10">
        <f t="shared" si="44"/>
        <v>-154.11706171977892</v>
      </c>
      <c r="N101" s="10">
        <f t="shared" si="41"/>
        <v>-580.1405187415239</v>
      </c>
      <c r="AR101" s="25"/>
    </row>
    <row r="102" spans="6:44" ht="12.75">
      <c r="F102" s="158">
        <v>32</v>
      </c>
      <c r="I102">
        <f t="shared" si="42"/>
        <v>2042</v>
      </c>
      <c r="J102" s="10">
        <f t="shared" si="39"/>
        <v>3810.365039297232</v>
      </c>
      <c r="K102" s="132">
        <f t="shared" si="45"/>
        <v>-447.64970801272847</v>
      </c>
      <c r="L102" s="10">
        <f t="shared" si="40"/>
        <v>809.7025708506618</v>
      </c>
      <c r="M102" s="10">
        <f t="shared" si="44"/>
        <v>-161.94051417013236</v>
      </c>
      <c r="N102" s="10">
        <f t="shared" si="41"/>
        <v>-609.5902221828608</v>
      </c>
      <c r="AR102" s="25"/>
    </row>
    <row r="103" spans="6:44" ht="12.75">
      <c r="F103" s="158">
        <f>30+2+6</f>
        <v>38</v>
      </c>
      <c r="I103">
        <f t="shared" si="42"/>
        <v>2043</v>
      </c>
      <c r="J103" s="10">
        <f t="shared" si="39"/>
        <v>4003.7257006664076</v>
      </c>
      <c r="K103" s="132">
        <f t="shared" si="45"/>
        <v>-470.3661256552291</v>
      </c>
      <c r="L103" s="10">
        <f t="shared" si="40"/>
        <v>850.7917113916117</v>
      </c>
      <c r="M103" s="10">
        <f t="shared" si="44"/>
        <v>-170.15834227832235</v>
      </c>
      <c r="N103" s="10">
        <f t="shared" si="41"/>
        <v>-640.5244679335515</v>
      </c>
      <c r="AR103" s="25"/>
    </row>
    <row r="104" spans="6:44" ht="12.75">
      <c r="F104" s="158">
        <f>SUM(F92:F103)</f>
        <v>10499.7</v>
      </c>
      <c r="I104">
        <f t="shared" si="42"/>
        <v>2044</v>
      </c>
      <c r="J104" s="10">
        <f t="shared" si="39"/>
        <v>4206.829680542319</v>
      </c>
      <c r="K104" s="132">
        <f t="shared" si="45"/>
        <v>-494.22720887166645</v>
      </c>
      <c r="L104" s="10">
        <f t="shared" si="40"/>
        <v>893.9513071152428</v>
      </c>
      <c r="M104" s="10">
        <f t="shared" si="44"/>
        <v>-178.79026142304858</v>
      </c>
      <c r="N104" s="10">
        <f t="shared" si="41"/>
        <v>-673.017470294715</v>
      </c>
      <c r="AR104" s="25"/>
    </row>
    <row r="105" spans="6:44" ht="12.75">
      <c r="F105" s="158"/>
      <c r="I105">
        <f t="shared" si="42"/>
        <v>2045</v>
      </c>
      <c r="J105" s="10">
        <f t="shared" si="39"/>
        <v>4420.163827960065</v>
      </c>
      <c r="K105" s="132">
        <f t="shared" si="45"/>
        <v>-519.2901537118048</v>
      </c>
      <c r="L105" s="10">
        <f t="shared" si="40"/>
        <v>939.2848134415137</v>
      </c>
      <c r="M105" s="10">
        <f t="shared" si="44"/>
        <v>-187.85696268830276</v>
      </c>
      <c r="N105" s="10">
        <f t="shared" si="41"/>
        <v>-707.1471164001075</v>
      </c>
      <c r="AR105" s="25"/>
    </row>
    <row r="106" spans="6:44" ht="12.75">
      <c r="F106" s="158">
        <v>-540</v>
      </c>
      <c r="I106">
        <f t="shared" si="42"/>
        <v>2046</v>
      </c>
      <c r="J106" s="10">
        <f t="shared" si="39"/>
        <v>4644.2390718101215</v>
      </c>
      <c r="K106" s="132">
        <f t="shared" si="45"/>
        <v>-545.6149851775216</v>
      </c>
      <c r="L106" s="10">
        <f t="shared" si="40"/>
        <v>986.9008027596508</v>
      </c>
      <c r="M106" s="10">
        <f t="shared" si="44"/>
        <v>-197.38016055193017</v>
      </c>
      <c r="N106" s="10">
        <f t="shared" si="41"/>
        <v>-742.9951457294518</v>
      </c>
      <c r="AR106" s="25"/>
    </row>
    <row r="107" spans="6:44" ht="12.75">
      <c r="F107" s="158">
        <v>-20</v>
      </c>
      <c r="I107">
        <f t="shared" si="42"/>
        <v>2047</v>
      </c>
      <c r="J107" s="10">
        <f t="shared" si="39"/>
        <v>4879.591596904104</v>
      </c>
      <c r="K107" s="132">
        <f t="shared" si="45"/>
        <v>-573.2646953894889</v>
      </c>
      <c r="L107" s="10">
        <f t="shared" si="40"/>
        <v>1036.9132143421223</v>
      </c>
      <c r="M107" s="10">
        <f t="shared" si="44"/>
        <v>-207.38264286842445</v>
      </c>
      <c r="N107" s="10">
        <f t="shared" si="41"/>
        <v>-780.6473382579134</v>
      </c>
      <c r="AR107" s="25"/>
    </row>
    <row r="108" spans="6:44" ht="12.75">
      <c r="F108" s="158">
        <f>F104+F106+F107</f>
        <v>9939.7</v>
      </c>
      <c r="I108">
        <f t="shared" si="42"/>
        <v>2048</v>
      </c>
      <c r="J108" s="10">
        <f t="shared" si="39"/>
        <v>5126.784076566201</v>
      </c>
      <c r="K108" s="132">
        <f t="shared" si="45"/>
        <v>-602.3053883946108</v>
      </c>
      <c r="L108" s="10">
        <f t="shared" si="40"/>
        <v>1089.4416162703178</v>
      </c>
      <c r="M108" s="10">
        <f t="shared" si="44"/>
        <v>-217.88832325406358</v>
      </c>
      <c r="N108" s="10">
        <f t="shared" si="41"/>
        <v>-820.1937116486744</v>
      </c>
      <c r="AR108" s="25"/>
    </row>
    <row r="109" spans="6:44" ht="12.75">
      <c r="F109" s="158">
        <f>-3600*0.99*0.99*0.92</f>
        <v>-3246.0912000000003</v>
      </c>
      <c r="G109" s="125">
        <f>-F109*E29</f>
        <v>97.38273600000001</v>
      </c>
      <c r="I109">
        <f t="shared" si="42"/>
        <v>2049</v>
      </c>
      <c r="J109" s="10">
        <f t="shared" si="39"/>
        <v>5386.406964410494</v>
      </c>
      <c r="K109" s="132">
        <f t="shared" si="45"/>
        <v>-632.8064319267428</v>
      </c>
      <c r="L109" s="10">
        <f t="shared" si="40"/>
        <v>1144.61147993723</v>
      </c>
      <c r="M109" s="10">
        <f t="shared" si="44"/>
        <v>-228.92229598744598</v>
      </c>
      <c r="N109" s="10">
        <f t="shared" si="41"/>
        <v>-861.7287279141888</v>
      </c>
      <c r="AR109" s="25"/>
    </row>
    <row r="110" spans="3:44" ht="12.75">
      <c r="C110" s="7"/>
      <c r="D110" s="49"/>
      <c r="E110" s="185"/>
      <c r="F110" s="186">
        <f>F108+F109</f>
        <v>6693.6088</v>
      </c>
      <c r="G110" s="125">
        <f>F110*E30</f>
        <v>1338.7217600000001</v>
      </c>
      <c r="H110" s="208"/>
      <c r="I110">
        <f t="shared" si="42"/>
        <v>2050</v>
      </c>
      <c r="J110" s="10">
        <f t="shared" si="39"/>
        <v>5659.079848086046</v>
      </c>
      <c r="K110" s="132">
        <f t="shared" si="45"/>
        <v>-664.8406164475157</v>
      </c>
      <c r="L110" s="10">
        <f t="shared" si="40"/>
        <v>1202.5544677182847</v>
      </c>
      <c r="M110" s="10">
        <f t="shared" si="44"/>
        <v>-240.51089354365695</v>
      </c>
      <c r="N110" s="10">
        <f t="shared" si="41"/>
        <v>-905.3515099911726</v>
      </c>
      <c r="AR110" s="25"/>
    </row>
    <row r="111" spans="2:44" ht="12.75">
      <c r="B111" s="23" t="s">
        <v>62</v>
      </c>
      <c r="C111" s="207">
        <f>E75</f>
        <v>15000</v>
      </c>
      <c r="D111" s="207"/>
      <c r="E111" s="209">
        <f>E74</f>
        <v>25000</v>
      </c>
      <c r="F111" s="209"/>
      <c r="G111" s="207">
        <v>30000</v>
      </c>
      <c r="J111" s="23" t="s">
        <v>68</v>
      </c>
      <c r="K111" s="210">
        <v>0</v>
      </c>
      <c r="M111" t="s">
        <v>68</v>
      </c>
      <c r="N111" s="9">
        <v>1</v>
      </c>
      <c r="P111" t="s">
        <v>68</v>
      </c>
      <c r="Q111" s="9">
        <v>0</v>
      </c>
      <c r="T111" t="s">
        <v>68</v>
      </c>
      <c r="U111" s="9">
        <v>0</v>
      </c>
      <c r="AR111" s="25"/>
    </row>
    <row r="112" spans="2:44" ht="12.75">
      <c r="B112" s="23" t="s">
        <v>63</v>
      </c>
      <c r="C112" s="207">
        <v>10000</v>
      </c>
      <c r="D112" s="207"/>
      <c r="E112" s="211">
        <f>20000</f>
        <v>20000</v>
      </c>
      <c r="F112" s="209"/>
      <c r="G112" s="207">
        <v>20000</v>
      </c>
      <c r="J112" s="23" t="s">
        <v>66</v>
      </c>
      <c r="K112" s="210">
        <v>35</v>
      </c>
      <c r="M112" s="23" t="s">
        <v>67</v>
      </c>
      <c r="N112" s="9">
        <v>45</v>
      </c>
      <c r="P112" s="23" t="s">
        <v>67</v>
      </c>
      <c r="Q112" s="9">
        <v>60</v>
      </c>
      <c r="T112" s="23" t="s">
        <v>66</v>
      </c>
      <c r="U112" s="9">
        <v>75</v>
      </c>
      <c r="V112" t="s">
        <v>71</v>
      </c>
      <c r="AR112" s="25"/>
    </row>
    <row r="113" spans="2:44" ht="12.75">
      <c r="B113" t="s">
        <v>151</v>
      </c>
      <c r="C113">
        <v>5000</v>
      </c>
      <c r="D113" s="14" t="s">
        <v>152</v>
      </c>
      <c r="E113" s="64">
        <v>7000</v>
      </c>
      <c r="F113" s="27" t="s">
        <v>153</v>
      </c>
      <c r="G113">
        <v>8000</v>
      </c>
      <c r="H113" s="27" t="s">
        <v>154</v>
      </c>
      <c r="J113" s="23" t="s">
        <v>70</v>
      </c>
      <c r="K113" s="212">
        <f>(25000*(1+K$111))+180000+((K$112-16)*8000)</f>
        <v>357000</v>
      </c>
      <c r="M113" s="23" t="s">
        <v>70</v>
      </c>
      <c r="N113" s="213">
        <f>(25000*(2+N111))+240000+((N$112-16)*16000)</f>
        <v>779000</v>
      </c>
      <c r="P113" s="23" t="s">
        <v>70</v>
      </c>
      <c r="Q113" s="213">
        <f>(25000*(2+Q$111))+240000+((Q$112-16)*16000)</f>
        <v>994000</v>
      </c>
      <c r="T113" s="23" t="s">
        <v>70</v>
      </c>
      <c r="U113" s="213">
        <f>(25000*(1+U$111))+180000+(432000-(U$112-70)*8500)</f>
        <v>594500</v>
      </c>
      <c r="AR113" s="25"/>
    </row>
    <row r="114" spans="3:44" ht="12.75">
      <c r="C114" s="23" t="s">
        <v>76</v>
      </c>
      <c r="D114" s="150"/>
      <c r="E114" s="23" t="s">
        <v>225</v>
      </c>
      <c r="F114" s="150"/>
      <c r="G114" s="23" t="s">
        <v>175</v>
      </c>
      <c r="J114" t="s">
        <v>223</v>
      </c>
      <c r="K114" s="25" t="s">
        <v>224</v>
      </c>
      <c r="Q114" s="214"/>
      <c r="U114" s="214"/>
      <c r="AR114" s="25"/>
    </row>
    <row r="115" spans="2:44" ht="12.75">
      <c r="B115" s="23" t="s">
        <v>222</v>
      </c>
      <c r="C115" s="23" t="s">
        <v>223</v>
      </c>
      <c r="D115" s="150" t="s">
        <v>224</v>
      </c>
      <c r="E115" s="23" t="s">
        <v>223</v>
      </c>
      <c r="F115" s="150" t="s">
        <v>224</v>
      </c>
      <c r="G115" s="23" t="s">
        <v>223</v>
      </c>
      <c r="H115" s="150" t="s">
        <v>224</v>
      </c>
      <c r="I115" s="23" t="s">
        <v>65</v>
      </c>
      <c r="U115"/>
      <c r="AR115" s="25"/>
    </row>
    <row r="116" spans="2:44" ht="12.75">
      <c r="B116" s="64">
        <v>0</v>
      </c>
      <c r="C116" s="10">
        <f>MAX(100,(E$29*B116)+MAX(0,(E$30-E$29)*(B116-C$111-MIN(B116*0.08,C$112)-MAX(0,C$113-0.06*B116))))</f>
        <v>100</v>
      </c>
      <c r="D116" s="215" t="s">
        <v>226</v>
      </c>
      <c r="E116" s="10">
        <f aca="true" t="shared" si="46" ref="E116:E126">MAX(100,(E$29*B116)+MAX(0,(E$30-E$29)*(B116-E$111-MIN(B116*0.08,E$112))))</f>
        <v>100</v>
      </c>
      <c r="F116" s="215" t="s">
        <v>226</v>
      </c>
      <c r="G116">
        <f aca="true" t="shared" si="47" ref="G116:G127">MAX(100,(E$29*B116)+MAX(0,(E$30-E$29)*(B116-G$111-MIN(B116*0.08,G$112))))</f>
        <v>100</v>
      </c>
      <c r="H116" s="215" t="s">
        <v>226</v>
      </c>
      <c r="I116" s="64">
        <v>200000</v>
      </c>
      <c r="J116">
        <f aca="true" t="shared" si="48" ref="J116:J164">MAX(0,E$38*(I116-(25000*(1+K$111))-180000-((K$112-16)*8000)))</f>
        <v>0</v>
      </c>
      <c r="K116" s="208">
        <f>J116/I116</f>
        <v>0</v>
      </c>
      <c r="M116">
        <f>MAX(0,E$38*(I116-(25000*(2+N$111))-270000-((N$112-16)*16000)))</f>
        <v>0</v>
      </c>
      <c r="N116" s="16">
        <f>M116/I116</f>
        <v>0</v>
      </c>
      <c r="P116">
        <f>MAX(0,E$38*(I116-(25000*(2+Q$111))-270000-((Q$112-16)*16000)))</f>
        <v>0</v>
      </c>
      <c r="Q116" s="16">
        <f>P116/I116</f>
        <v>0</v>
      </c>
      <c r="T116">
        <f>MAX(0,E$38*(I116-(25000*(1+U$111))-180000-(432000-(U$112-70)*8500)))</f>
        <v>0</v>
      </c>
      <c r="U116" s="16">
        <f>T116/I116</f>
        <v>0</v>
      </c>
      <c r="AR116" s="25"/>
    </row>
    <row r="117" spans="2:44" ht="12.75">
      <c r="B117" s="64">
        <f>B116+2000</f>
        <v>2000</v>
      </c>
      <c r="C117" s="10">
        <f>MAX(100,(E$29*B117)+MAX(0,(E$30-E$29)*(B117-C$111)))</f>
        <v>100</v>
      </c>
      <c r="D117" s="16">
        <f aca="true" t="shared" si="49" ref="D117:D180">C117/B117</f>
        <v>0.05</v>
      </c>
      <c r="E117" s="10">
        <f t="shared" si="46"/>
        <v>100</v>
      </c>
      <c r="F117" s="16">
        <f aca="true" t="shared" si="50" ref="F117:F180">E117/B117</f>
        <v>0.05</v>
      </c>
      <c r="G117">
        <f t="shared" si="47"/>
        <v>100</v>
      </c>
      <c r="H117" s="16">
        <f>G117/B117</f>
        <v>0.05</v>
      </c>
      <c r="I117" s="169">
        <f aca="true" t="shared" si="51" ref="I117:I122">I116+100000</f>
        <v>300000</v>
      </c>
      <c r="J117">
        <f t="shared" si="48"/>
        <v>0</v>
      </c>
      <c r="K117" s="208">
        <f aca="true" t="shared" si="52" ref="K117:K164">J117/I117</f>
        <v>0</v>
      </c>
      <c r="M117">
        <f aca="true" t="shared" si="53" ref="M117:M164">MAX(0,E$38*(I117-(25000*(2+N$111))-270000-((N$112-16)*16000)))</f>
        <v>0</v>
      </c>
      <c r="N117" s="16">
        <f aca="true" t="shared" si="54" ref="N117:N164">M117/I117</f>
        <v>0</v>
      </c>
      <c r="P117">
        <f aca="true" t="shared" si="55" ref="P117:P164">MAX(0,E$38*(I117-(25000*(2+Q$111))-270000-((Q$112-16)*16000)))</f>
        <v>0</v>
      </c>
      <c r="Q117" s="16">
        <f aca="true" t="shared" si="56" ref="Q117:Q164">P117/I117</f>
        <v>0</v>
      </c>
      <c r="T117">
        <f aca="true" t="shared" si="57" ref="T117:T164">MAX(0,E$38*(I117-(25000*(1+U$111))-180000-(432000-(U$112-70)*8500)))</f>
        <v>0</v>
      </c>
      <c r="U117" s="16">
        <f aca="true" t="shared" si="58" ref="U117:U164">T117/I117</f>
        <v>0</v>
      </c>
      <c r="AR117" s="25"/>
    </row>
    <row r="118" spans="2:44" ht="12.75">
      <c r="B118" s="64">
        <f aca="true" t="shared" si="59" ref="B118:B126">B117+2000</f>
        <v>4000</v>
      </c>
      <c r="C118" s="10">
        <f aca="true" t="shared" si="60" ref="C118:C123">MAX(100,(E$29*B118)+MAX(0,(E$30-E$29)*(B118-C$111-MIN(B118*0.08,C$112))))</f>
        <v>120</v>
      </c>
      <c r="D118" s="16">
        <f t="shared" si="49"/>
        <v>0.03</v>
      </c>
      <c r="E118" s="10">
        <f t="shared" si="46"/>
        <v>120</v>
      </c>
      <c r="F118" s="16">
        <f t="shared" si="50"/>
        <v>0.03</v>
      </c>
      <c r="G118">
        <f t="shared" si="47"/>
        <v>120</v>
      </c>
      <c r="H118" s="16">
        <f aca="true" t="shared" si="61" ref="H118:H180">G118/B118</f>
        <v>0.03</v>
      </c>
      <c r="I118" s="169">
        <f t="shared" si="51"/>
        <v>400000</v>
      </c>
      <c r="J118">
        <f t="shared" si="48"/>
        <v>860</v>
      </c>
      <c r="K118" s="208">
        <f t="shared" si="52"/>
        <v>0.00215</v>
      </c>
      <c r="M118">
        <f t="shared" si="53"/>
        <v>0</v>
      </c>
      <c r="N118" s="16">
        <f t="shared" si="54"/>
        <v>0</v>
      </c>
      <c r="P118">
        <f t="shared" si="55"/>
        <v>0</v>
      </c>
      <c r="Q118" s="16">
        <f t="shared" si="56"/>
        <v>0</v>
      </c>
      <c r="T118">
        <f t="shared" si="57"/>
        <v>0</v>
      </c>
      <c r="U118" s="16">
        <f t="shared" si="58"/>
        <v>0</v>
      </c>
      <c r="AR118" s="25"/>
    </row>
    <row r="119" spans="2:44" ht="12.75">
      <c r="B119" s="64">
        <f t="shared" si="59"/>
        <v>6000</v>
      </c>
      <c r="C119" s="10">
        <f t="shared" si="60"/>
        <v>180</v>
      </c>
      <c r="D119" s="16">
        <f t="shared" si="49"/>
        <v>0.03</v>
      </c>
      <c r="E119" s="10">
        <f t="shared" si="46"/>
        <v>180</v>
      </c>
      <c r="F119" s="16">
        <f t="shared" si="50"/>
        <v>0.03</v>
      </c>
      <c r="G119">
        <f t="shared" si="47"/>
        <v>180</v>
      </c>
      <c r="H119" s="16">
        <f t="shared" si="61"/>
        <v>0.03</v>
      </c>
      <c r="I119" s="169">
        <f t="shared" si="51"/>
        <v>500000</v>
      </c>
      <c r="J119">
        <f t="shared" si="48"/>
        <v>2860</v>
      </c>
      <c r="K119" s="208">
        <f t="shared" si="52"/>
        <v>0.00572</v>
      </c>
      <c r="M119">
        <f t="shared" si="53"/>
        <v>0</v>
      </c>
      <c r="N119" s="16">
        <f t="shared" si="54"/>
        <v>0</v>
      </c>
      <c r="P119">
        <f t="shared" si="55"/>
        <v>0</v>
      </c>
      <c r="Q119" s="16">
        <f t="shared" si="56"/>
        <v>0</v>
      </c>
      <c r="T119">
        <f t="shared" si="57"/>
        <v>0</v>
      </c>
      <c r="U119" s="16">
        <f t="shared" si="58"/>
        <v>0</v>
      </c>
      <c r="AR119" s="25"/>
    </row>
    <row r="120" spans="2:44" ht="12.75">
      <c r="B120" s="64">
        <f t="shared" si="59"/>
        <v>8000</v>
      </c>
      <c r="C120" s="10">
        <f t="shared" si="60"/>
        <v>240</v>
      </c>
      <c r="D120" s="16">
        <f t="shared" si="49"/>
        <v>0.03</v>
      </c>
      <c r="E120" s="10">
        <f t="shared" si="46"/>
        <v>240</v>
      </c>
      <c r="F120" s="16">
        <f t="shared" si="50"/>
        <v>0.03</v>
      </c>
      <c r="G120">
        <f t="shared" si="47"/>
        <v>240</v>
      </c>
      <c r="H120" s="16">
        <f t="shared" si="61"/>
        <v>0.03</v>
      </c>
      <c r="I120" s="169">
        <f t="shared" si="51"/>
        <v>600000</v>
      </c>
      <c r="J120">
        <f t="shared" si="48"/>
        <v>4860</v>
      </c>
      <c r="K120" s="208">
        <f t="shared" si="52"/>
        <v>0.0081</v>
      </c>
      <c r="M120">
        <f t="shared" si="53"/>
        <v>0</v>
      </c>
      <c r="N120" s="16">
        <f t="shared" si="54"/>
        <v>0</v>
      </c>
      <c r="P120">
        <f t="shared" si="55"/>
        <v>0</v>
      </c>
      <c r="Q120" s="16">
        <f t="shared" si="56"/>
        <v>0</v>
      </c>
      <c r="T120">
        <f t="shared" si="57"/>
        <v>110</v>
      </c>
      <c r="U120" s="16">
        <f t="shared" si="58"/>
        <v>0.00018333333333333334</v>
      </c>
      <c r="AR120" s="25"/>
    </row>
    <row r="121" spans="2:44" ht="12.75">
      <c r="B121" s="64">
        <f t="shared" si="59"/>
        <v>10000</v>
      </c>
      <c r="C121" s="10">
        <f t="shared" si="60"/>
        <v>300</v>
      </c>
      <c r="D121" s="16">
        <f t="shared" si="49"/>
        <v>0.03</v>
      </c>
      <c r="E121" s="10">
        <f t="shared" si="46"/>
        <v>300</v>
      </c>
      <c r="F121" s="16">
        <f t="shared" si="50"/>
        <v>0.03</v>
      </c>
      <c r="G121">
        <f t="shared" si="47"/>
        <v>300</v>
      </c>
      <c r="H121" s="16">
        <f t="shared" si="61"/>
        <v>0.03</v>
      </c>
      <c r="I121" s="169">
        <f t="shared" si="51"/>
        <v>700000</v>
      </c>
      <c r="J121">
        <f t="shared" si="48"/>
        <v>6860</v>
      </c>
      <c r="K121" s="208">
        <f t="shared" si="52"/>
        <v>0.0098</v>
      </c>
      <c r="M121">
        <f t="shared" si="53"/>
        <v>0</v>
      </c>
      <c r="N121" s="16">
        <f t="shared" si="54"/>
        <v>0</v>
      </c>
      <c r="P121">
        <f t="shared" si="55"/>
        <v>0</v>
      </c>
      <c r="Q121" s="16">
        <f t="shared" si="56"/>
        <v>0</v>
      </c>
      <c r="T121">
        <f t="shared" si="57"/>
        <v>2110</v>
      </c>
      <c r="U121" s="16">
        <f t="shared" si="58"/>
        <v>0.003014285714285714</v>
      </c>
      <c r="AR121" s="25"/>
    </row>
    <row r="122" spans="2:44" ht="12.75">
      <c r="B122" s="64">
        <f t="shared" si="59"/>
        <v>12000</v>
      </c>
      <c r="C122" s="10">
        <f t="shared" si="60"/>
        <v>360</v>
      </c>
      <c r="D122" s="16">
        <f t="shared" si="49"/>
        <v>0.03</v>
      </c>
      <c r="E122" s="10">
        <f t="shared" si="46"/>
        <v>360</v>
      </c>
      <c r="F122" s="16">
        <f t="shared" si="50"/>
        <v>0.03</v>
      </c>
      <c r="G122">
        <f t="shared" si="47"/>
        <v>360</v>
      </c>
      <c r="H122" s="16">
        <f t="shared" si="61"/>
        <v>0.03</v>
      </c>
      <c r="I122" s="169">
        <f t="shared" si="51"/>
        <v>800000</v>
      </c>
      <c r="J122">
        <f t="shared" si="48"/>
        <v>8860</v>
      </c>
      <c r="K122" s="208">
        <f t="shared" si="52"/>
        <v>0.011075</v>
      </c>
      <c r="M122">
        <f t="shared" si="53"/>
        <v>0</v>
      </c>
      <c r="N122" s="16">
        <f t="shared" si="54"/>
        <v>0</v>
      </c>
      <c r="P122">
        <f t="shared" si="55"/>
        <v>0</v>
      </c>
      <c r="Q122" s="16">
        <f t="shared" si="56"/>
        <v>0</v>
      </c>
      <c r="T122">
        <f t="shared" si="57"/>
        <v>4110</v>
      </c>
      <c r="U122" s="16">
        <f t="shared" si="58"/>
        <v>0.0051375</v>
      </c>
      <c r="AR122" s="25"/>
    </row>
    <row r="123" spans="2:44" ht="12.75">
      <c r="B123" s="64">
        <f t="shared" si="59"/>
        <v>14000</v>
      </c>
      <c r="C123" s="10">
        <f t="shared" si="60"/>
        <v>420</v>
      </c>
      <c r="D123" s="16">
        <f t="shared" si="49"/>
        <v>0.03</v>
      </c>
      <c r="E123" s="10">
        <f t="shared" si="46"/>
        <v>420</v>
      </c>
      <c r="F123" s="16">
        <f t="shared" si="50"/>
        <v>0.03</v>
      </c>
      <c r="G123">
        <f t="shared" si="47"/>
        <v>420</v>
      </c>
      <c r="H123" s="16">
        <f t="shared" si="61"/>
        <v>0.03</v>
      </c>
      <c r="I123" s="64">
        <f aca="true" t="shared" si="62" ref="I123:I133">I122+200000</f>
        <v>1000000</v>
      </c>
      <c r="J123">
        <f t="shared" si="48"/>
        <v>12860</v>
      </c>
      <c r="K123" s="208">
        <f t="shared" si="52"/>
        <v>0.01286</v>
      </c>
      <c r="M123">
        <f t="shared" si="53"/>
        <v>3820</v>
      </c>
      <c r="N123" s="16">
        <f t="shared" si="54"/>
        <v>0.00382</v>
      </c>
      <c r="P123">
        <f t="shared" si="55"/>
        <v>0</v>
      </c>
      <c r="Q123" s="16">
        <f t="shared" si="56"/>
        <v>0</v>
      </c>
      <c r="T123">
        <f t="shared" si="57"/>
        <v>8110</v>
      </c>
      <c r="U123" s="16">
        <f t="shared" si="58"/>
        <v>0.00811</v>
      </c>
      <c r="AR123" s="25"/>
    </row>
    <row r="124" spans="2:44" ht="12.75">
      <c r="B124" s="64">
        <f t="shared" si="59"/>
        <v>16000</v>
      </c>
      <c r="C124" s="10">
        <f>MAX(100,(E$29*B124)+MAX(0,(E$30-E$29)*(B124-C$111-MIN(B124*0.08,C$112)-MAX(0,C$113-0.06*$B124))))</f>
        <v>480</v>
      </c>
      <c r="D124" s="16">
        <f t="shared" si="49"/>
        <v>0.03</v>
      </c>
      <c r="E124" s="10">
        <f t="shared" si="46"/>
        <v>480</v>
      </c>
      <c r="F124" s="16">
        <f t="shared" si="50"/>
        <v>0.03</v>
      </c>
      <c r="G124">
        <f t="shared" si="47"/>
        <v>480</v>
      </c>
      <c r="H124" s="16">
        <f>G124/B124</f>
        <v>0.03</v>
      </c>
      <c r="I124" s="64">
        <f t="shared" si="62"/>
        <v>1200000</v>
      </c>
      <c r="J124">
        <f t="shared" si="48"/>
        <v>16860</v>
      </c>
      <c r="K124" s="208">
        <f t="shared" si="52"/>
        <v>0.01405</v>
      </c>
      <c r="M124">
        <f t="shared" si="53"/>
        <v>7820</v>
      </c>
      <c r="N124" s="16">
        <f t="shared" si="54"/>
        <v>0.006516666666666666</v>
      </c>
      <c r="P124">
        <f t="shared" si="55"/>
        <v>3520</v>
      </c>
      <c r="Q124" s="16">
        <f t="shared" si="56"/>
        <v>0.0029333333333333334</v>
      </c>
      <c r="T124">
        <f t="shared" si="57"/>
        <v>12110</v>
      </c>
      <c r="U124" s="16">
        <f t="shared" si="58"/>
        <v>0.010091666666666667</v>
      </c>
      <c r="AR124" s="25"/>
    </row>
    <row r="125" spans="2:44" ht="12.75">
      <c r="B125" s="64">
        <f t="shared" si="59"/>
        <v>18000</v>
      </c>
      <c r="C125" s="10">
        <f aca="true" t="shared" si="63" ref="C125:C180">MAX(100,(E$29*B125)+MAX(0,(E$30-E$29)*(B125-C$111-MIN(B125*0.08,C$112)-MAX(0,C$113-0.06*$B125))))</f>
        <v>540</v>
      </c>
      <c r="D125" s="16">
        <f t="shared" si="49"/>
        <v>0.03</v>
      </c>
      <c r="E125" s="10">
        <f t="shared" si="46"/>
        <v>540</v>
      </c>
      <c r="F125" s="16">
        <f t="shared" si="50"/>
        <v>0.03</v>
      </c>
      <c r="G125">
        <f t="shared" si="47"/>
        <v>540</v>
      </c>
      <c r="H125" s="16">
        <f t="shared" si="61"/>
        <v>0.03</v>
      </c>
      <c r="I125" s="64">
        <f t="shared" si="62"/>
        <v>1400000</v>
      </c>
      <c r="J125">
        <f t="shared" si="48"/>
        <v>20860</v>
      </c>
      <c r="K125" s="208">
        <f t="shared" si="52"/>
        <v>0.0149</v>
      </c>
      <c r="M125">
        <f t="shared" si="53"/>
        <v>11820</v>
      </c>
      <c r="N125" s="16">
        <f t="shared" si="54"/>
        <v>0.008442857142857143</v>
      </c>
      <c r="P125">
        <f t="shared" si="55"/>
        <v>7520</v>
      </c>
      <c r="Q125" s="16">
        <f t="shared" si="56"/>
        <v>0.005371428571428571</v>
      </c>
      <c r="T125">
        <f t="shared" si="57"/>
        <v>16110</v>
      </c>
      <c r="U125" s="16">
        <f t="shared" si="58"/>
        <v>0.011507142857142856</v>
      </c>
      <c r="AR125" s="25"/>
    </row>
    <row r="126" spans="2:44" ht="12.75">
      <c r="B126" s="64">
        <f t="shared" si="59"/>
        <v>20000</v>
      </c>
      <c r="C126" s="10">
        <f t="shared" si="63"/>
        <v>600</v>
      </c>
      <c r="D126" s="16">
        <f t="shared" si="49"/>
        <v>0.03</v>
      </c>
      <c r="E126" s="10">
        <f t="shared" si="46"/>
        <v>600</v>
      </c>
      <c r="F126" s="16">
        <f t="shared" si="50"/>
        <v>0.03</v>
      </c>
      <c r="G126">
        <f t="shared" si="47"/>
        <v>600</v>
      </c>
      <c r="H126" s="16">
        <f t="shared" si="61"/>
        <v>0.03</v>
      </c>
      <c r="I126" s="64">
        <f t="shared" si="62"/>
        <v>1600000</v>
      </c>
      <c r="J126">
        <f t="shared" si="48"/>
        <v>24860</v>
      </c>
      <c r="K126" s="208">
        <f t="shared" si="52"/>
        <v>0.0155375</v>
      </c>
      <c r="M126">
        <f t="shared" si="53"/>
        <v>15820</v>
      </c>
      <c r="N126" s="16">
        <f t="shared" si="54"/>
        <v>0.0098875</v>
      </c>
      <c r="P126">
        <f t="shared" si="55"/>
        <v>11520</v>
      </c>
      <c r="Q126" s="16">
        <f t="shared" si="56"/>
        <v>0.0072</v>
      </c>
      <c r="T126">
        <f t="shared" si="57"/>
        <v>20110</v>
      </c>
      <c r="U126" s="16">
        <f t="shared" si="58"/>
        <v>0.01256875</v>
      </c>
      <c r="AR126" s="25"/>
    </row>
    <row r="127" spans="2:44" ht="12.75">
      <c r="B127" s="64">
        <f>B126+5000</f>
        <v>25000</v>
      </c>
      <c r="C127" s="10">
        <f t="shared" si="63"/>
        <v>1515</v>
      </c>
      <c r="D127" s="16">
        <f t="shared" si="49"/>
        <v>0.0606</v>
      </c>
      <c r="E127" s="10">
        <f>MAX(100,(E$29*B127)+MAX(0,(E$30-E$29)*(B127-E$111-MIN(B127*0.08,E$112)-MAX(0,E$113-0.06*$B124))))</f>
        <v>750</v>
      </c>
      <c r="F127" s="16">
        <f t="shared" si="50"/>
        <v>0.03</v>
      </c>
      <c r="G127">
        <f t="shared" si="47"/>
        <v>750</v>
      </c>
      <c r="H127" s="16">
        <f t="shared" si="61"/>
        <v>0.03</v>
      </c>
      <c r="I127" s="64">
        <f t="shared" si="62"/>
        <v>1800000</v>
      </c>
      <c r="J127">
        <f t="shared" si="48"/>
        <v>28860</v>
      </c>
      <c r="K127" s="208">
        <f t="shared" si="52"/>
        <v>0.016033333333333333</v>
      </c>
      <c r="M127">
        <f t="shared" si="53"/>
        <v>19820</v>
      </c>
      <c r="N127" s="16">
        <f t="shared" si="54"/>
        <v>0.01101111111111111</v>
      </c>
      <c r="P127">
        <f t="shared" si="55"/>
        <v>15520</v>
      </c>
      <c r="Q127" s="16">
        <f t="shared" si="56"/>
        <v>0.008622222222222222</v>
      </c>
      <c r="T127">
        <f t="shared" si="57"/>
        <v>24110</v>
      </c>
      <c r="U127" s="16">
        <f t="shared" si="58"/>
        <v>0.013394444444444445</v>
      </c>
      <c r="AR127" s="25"/>
    </row>
    <row r="128" spans="2:44" ht="12.75">
      <c r="B128" s="64">
        <f aca="true" t="shared" si="64" ref="B128:B146">B127+5000</f>
        <v>30000</v>
      </c>
      <c r="C128" s="10">
        <f t="shared" si="63"/>
        <v>2498</v>
      </c>
      <c r="D128" s="16">
        <f t="shared" si="49"/>
        <v>0.08326666666666667</v>
      </c>
      <c r="E128" s="10">
        <f aca="true" t="shared" si="65" ref="E128:E180">MAX(100,(E$29*B128)+MAX(0,(E$30-E$29)*(B128-E$111-MIN(B128*0.08,E$112)-MAX(0,E$113-0.06*$B125))))</f>
        <v>900</v>
      </c>
      <c r="F128" s="16">
        <f t="shared" si="50"/>
        <v>0.03</v>
      </c>
      <c r="G128">
        <f>MAX(100,(E$29*B128)+MAX(0,(E$30-E$29)*(B128-G$111-MIN(B128*0.08,G$112)-MAX(0,E$113-0.06*$B124))))</f>
        <v>900</v>
      </c>
      <c r="H128" s="16">
        <f t="shared" si="61"/>
        <v>0.03</v>
      </c>
      <c r="I128" s="64">
        <f t="shared" si="62"/>
        <v>2000000</v>
      </c>
      <c r="J128">
        <f t="shared" si="48"/>
        <v>32860</v>
      </c>
      <c r="K128" s="208">
        <f t="shared" si="52"/>
        <v>0.01643</v>
      </c>
      <c r="M128">
        <f t="shared" si="53"/>
        <v>23820</v>
      </c>
      <c r="N128" s="16">
        <f t="shared" si="54"/>
        <v>0.01191</v>
      </c>
      <c r="P128">
        <f t="shared" si="55"/>
        <v>19520</v>
      </c>
      <c r="Q128" s="16">
        <f t="shared" si="56"/>
        <v>0.00976</v>
      </c>
      <c r="T128">
        <f t="shared" si="57"/>
        <v>28110</v>
      </c>
      <c r="U128" s="16">
        <f t="shared" si="58"/>
        <v>0.014055</v>
      </c>
      <c r="AR128" s="25"/>
    </row>
    <row r="129" spans="2:44" ht="12.75">
      <c r="B129" s="64">
        <f t="shared" si="64"/>
        <v>35000</v>
      </c>
      <c r="C129" s="10">
        <f t="shared" si="63"/>
        <v>3481</v>
      </c>
      <c r="D129" s="16">
        <f t="shared" si="49"/>
        <v>0.09945714285714286</v>
      </c>
      <c r="E129" s="10">
        <f t="shared" si="65"/>
        <v>1288</v>
      </c>
      <c r="F129" s="16">
        <f t="shared" si="50"/>
        <v>0.0368</v>
      </c>
      <c r="G129">
        <f aca="true" t="shared" si="66" ref="G129:G180">MAX(100,(E$29*B129)+MAX(0,(E$30-E$29)*(B129-G$111-MIN(B129*0.08,G$112)-MAX(0,E$113-0.06*$B125))))</f>
        <v>1050</v>
      </c>
      <c r="H129" s="16">
        <f t="shared" si="61"/>
        <v>0.03</v>
      </c>
      <c r="I129" s="64">
        <f t="shared" si="62"/>
        <v>2200000</v>
      </c>
      <c r="J129">
        <f t="shared" si="48"/>
        <v>36860</v>
      </c>
      <c r="K129" s="208">
        <f t="shared" si="52"/>
        <v>0.016754545454545456</v>
      </c>
      <c r="M129">
        <f t="shared" si="53"/>
        <v>27820</v>
      </c>
      <c r="N129" s="16">
        <f t="shared" si="54"/>
        <v>0.012645454545454545</v>
      </c>
      <c r="P129">
        <f t="shared" si="55"/>
        <v>23520</v>
      </c>
      <c r="Q129" s="16">
        <f t="shared" si="56"/>
        <v>0.010690909090909091</v>
      </c>
      <c r="T129">
        <f t="shared" si="57"/>
        <v>32110</v>
      </c>
      <c r="U129" s="16">
        <f t="shared" si="58"/>
        <v>0.014595454545454545</v>
      </c>
      <c r="AR129" s="25"/>
    </row>
    <row r="130" spans="2:44" ht="12.75">
      <c r="B130" s="64">
        <f t="shared" si="64"/>
        <v>40000</v>
      </c>
      <c r="C130" s="10">
        <f t="shared" si="63"/>
        <v>4464</v>
      </c>
      <c r="D130" s="16">
        <f t="shared" si="49"/>
        <v>0.1116</v>
      </c>
      <c r="E130" s="10">
        <f t="shared" si="65"/>
        <v>2271</v>
      </c>
      <c r="F130" s="16">
        <f t="shared" si="50"/>
        <v>0.056775</v>
      </c>
      <c r="G130">
        <f t="shared" si="66"/>
        <v>1370</v>
      </c>
      <c r="H130" s="16">
        <f t="shared" si="61"/>
        <v>0.03425</v>
      </c>
      <c r="I130" s="64">
        <f t="shared" si="62"/>
        <v>2400000</v>
      </c>
      <c r="J130">
        <f t="shared" si="48"/>
        <v>40860</v>
      </c>
      <c r="K130" s="208">
        <f t="shared" si="52"/>
        <v>0.017025</v>
      </c>
      <c r="M130">
        <f t="shared" si="53"/>
        <v>31820</v>
      </c>
      <c r="N130" s="16">
        <f t="shared" si="54"/>
        <v>0.013258333333333334</v>
      </c>
      <c r="P130">
        <f t="shared" si="55"/>
        <v>27520</v>
      </c>
      <c r="Q130" s="16">
        <f t="shared" si="56"/>
        <v>0.011466666666666667</v>
      </c>
      <c r="T130">
        <f t="shared" si="57"/>
        <v>36110</v>
      </c>
      <c r="U130" s="16">
        <f t="shared" si="58"/>
        <v>0.015045833333333333</v>
      </c>
      <c r="AR130" s="25"/>
    </row>
    <row r="131" spans="2:44" ht="12.75">
      <c r="B131" s="64">
        <f t="shared" si="64"/>
        <v>45000</v>
      </c>
      <c r="C131" s="10">
        <f t="shared" si="63"/>
        <v>5447</v>
      </c>
      <c r="D131" s="16">
        <f t="shared" si="49"/>
        <v>0.12104444444444444</v>
      </c>
      <c r="E131" s="10">
        <f t="shared" si="65"/>
        <v>3254</v>
      </c>
      <c r="F131" s="16">
        <f t="shared" si="50"/>
        <v>0.07231111111111112</v>
      </c>
      <c r="G131">
        <f t="shared" si="66"/>
        <v>2353</v>
      </c>
      <c r="H131" s="16">
        <f t="shared" si="61"/>
        <v>0.05228888888888889</v>
      </c>
      <c r="I131" s="64">
        <f t="shared" si="62"/>
        <v>2600000</v>
      </c>
      <c r="J131">
        <f t="shared" si="48"/>
        <v>44860</v>
      </c>
      <c r="K131" s="208">
        <f t="shared" si="52"/>
        <v>0.017253846153846154</v>
      </c>
      <c r="M131">
        <f t="shared" si="53"/>
        <v>35820</v>
      </c>
      <c r="N131" s="16">
        <f t="shared" si="54"/>
        <v>0.013776923076923077</v>
      </c>
      <c r="P131">
        <f t="shared" si="55"/>
        <v>31520</v>
      </c>
      <c r="Q131" s="16">
        <f t="shared" si="56"/>
        <v>0.012123076923076924</v>
      </c>
      <c r="T131">
        <f t="shared" si="57"/>
        <v>40110</v>
      </c>
      <c r="U131" s="16">
        <f t="shared" si="58"/>
        <v>0.015426923076923078</v>
      </c>
      <c r="AR131" s="25"/>
    </row>
    <row r="132" spans="2:44" ht="12.75">
      <c r="B132" s="64">
        <f t="shared" si="64"/>
        <v>50000</v>
      </c>
      <c r="C132" s="10">
        <f t="shared" si="63"/>
        <v>6430</v>
      </c>
      <c r="D132" s="16">
        <f t="shared" si="49"/>
        <v>0.1286</v>
      </c>
      <c r="E132" s="10">
        <f t="shared" si="65"/>
        <v>4237</v>
      </c>
      <c r="F132" s="16">
        <f t="shared" si="50"/>
        <v>0.08474</v>
      </c>
      <c r="G132">
        <f t="shared" si="66"/>
        <v>3336</v>
      </c>
      <c r="H132" s="16">
        <f t="shared" si="61"/>
        <v>0.06672</v>
      </c>
      <c r="I132" s="64">
        <f t="shared" si="62"/>
        <v>2800000</v>
      </c>
      <c r="J132">
        <f t="shared" si="48"/>
        <v>48860</v>
      </c>
      <c r="K132" s="208">
        <f t="shared" si="52"/>
        <v>0.01745</v>
      </c>
      <c r="M132">
        <f t="shared" si="53"/>
        <v>39820</v>
      </c>
      <c r="N132" s="16">
        <f t="shared" si="54"/>
        <v>0.01422142857142857</v>
      </c>
      <c r="P132">
        <f t="shared" si="55"/>
        <v>35520</v>
      </c>
      <c r="Q132" s="16">
        <f t="shared" si="56"/>
        <v>0.012685714285714286</v>
      </c>
      <c r="T132">
        <f t="shared" si="57"/>
        <v>44110</v>
      </c>
      <c r="U132" s="16">
        <f t="shared" si="58"/>
        <v>0.01575357142857143</v>
      </c>
      <c r="AR132" s="25"/>
    </row>
    <row r="133" spans="2:44" ht="12.75">
      <c r="B133" s="64">
        <f t="shared" si="64"/>
        <v>55000</v>
      </c>
      <c r="C133" s="10">
        <f t="shared" si="63"/>
        <v>7413</v>
      </c>
      <c r="D133" s="16">
        <f t="shared" si="49"/>
        <v>0.13478181818181817</v>
      </c>
      <c r="E133" s="10">
        <f t="shared" si="65"/>
        <v>5220</v>
      </c>
      <c r="F133" s="16">
        <f t="shared" si="50"/>
        <v>0.09490909090909092</v>
      </c>
      <c r="G133">
        <f t="shared" si="66"/>
        <v>4319</v>
      </c>
      <c r="H133" s="16">
        <f t="shared" si="61"/>
        <v>0.07852727272727272</v>
      </c>
      <c r="I133" s="64">
        <f t="shared" si="62"/>
        <v>3000000</v>
      </c>
      <c r="J133">
        <f t="shared" si="48"/>
        <v>52860</v>
      </c>
      <c r="K133" s="208">
        <f t="shared" si="52"/>
        <v>0.01762</v>
      </c>
      <c r="M133">
        <f t="shared" si="53"/>
        <v>43820</v>
      </c>
      <c r="N133" s="16">
        <f t="shared" si="54"/>
        <v>0.014606666666666667</v>
      </c>
      <c r="P133">
        <f t="shared" si="55"/>
        <v>39520</v>
      </c>
      <c r="Q133" s="16">
        <f t="shared" si="56"/>
        <v>0.013173333333333334</v>
      </c>
      <c r="T133">
        <f t="shared" si="57"/>
        <v>48110</v>
      </c>
      <c r="U133" s="16">
        <f t="shared" si="58"/>
        <v>0.016036666666666668</v>
      </c>
      <c r="AR133" s="25"/>
    </row>
    <row r="134" spans="2:44" ht="12.75">
      <c r="B134" s="64">
        <f t="shared" si="64"/>
        <v>60000</v>
      </c>
      <c r="C134" s="10">
        <f t="shared" si="63"/>
        <v>8396</v>
      </c>
      <c r="D134" s="16">
        <f t="shared" si="49"/>
        <v>0.13993333333333333</v>
      </c>
      <c r="E134" s="10">
        <f t="shared" si="65"/>
        <v>6203</v>
      </c>
      <c r="F134" s="16">
        <f t="shared" si="50"/>
        <v>0.10338333333333333</v>
      </c>
      <c r="G134">
        <f t="shared" si="66"/>
        <v>5302</v>
      </c>
      <c r="H134" s="16">
        <f t="shared" si="61"/>
        <v>0.08836666666666666</v>
      </c>
      <c r="I134" s="64">
        <f>I133+500000</f>
        <v>3500000</v>
      </c>
      <c r="J134">
        <f t="shared" si="48"/>
        <v>62860</v>
      </c>
      <c r="K134" s="208">
        <f t="shared" si="52"/>
        <v>0.01796</v>
      </c>
      <c r="M134">
        <f t="shared" si="53"/>
        <v>53820</v>
      </c>
      <c r="N134" s="16">
        <f t="shared" si="54"/>
        <v>0.015377142857142857</v>
      </c>
      <c r="P134">
        <f t="shared" si="55"/>
        <v>49520</v>
      </c>
      <c r="Q134" s="16">
        <f t="shared" si="56"/>
        <v>0.014148571428571429</v>
      </c>
      <c r="T134">
        <f t="shared" si="57"/>
        <v>58110</v>
      </c>
      <c r="U134" s="16">
        <f t="shared" si="58"/>
        <v>0.01660285714285714</v>
      </c>
      <c r="AR134" s="25"/>
    </row>
    <row r="135" spans="2:44" ht="12.75">
      <c r="B135" s="64">
        <f t="shared" si="64"/>
        <v>65000</v>
      </c>
      <c r="C135" s="10">
        <f t="shared" si="63"/>
        <v>9379</v>
      </c>
      <c r="D135" s="16">
        <f t="shared" si="49"/>
        <v>0.1442923076923077</v>
      </c>
      <c r="E135" s="10">
        <f t="shared" si="65"/>
        <v>7186</v>
      </c>
      <c r="F135" s="16">
        <f t="shared" si="50"/>
        <v>0.11055384615384616</v>
      </c>
      <c r="G135">
        <f t="shared" si="66"/>
        <v>6285</v>
      </c>
      <c r="H135" s="16">
        <f t="shared" si="61"/>
        <v>0.09669230769230769</v>
      </c>
      <c r="I135" s="64">
        <f aca="true" t="shared" si="67" ref="I135:I142">I134+500000</f>
        <v>4000000</v>
      </c>
      <c r="J135">
        <f t="shared" si="48"/>
        <v>72860</v>
      </c>
      <c r="K135" s="208">
        <f t="shared" si="52"/>
        <v>0.018215</v>
      </c>
      <c r="M135">
        <f t="shared" si="53"/>
        <v>63820</v>
      </c>
      <c r="N135" s="16">
        <f t="shared" si="54"/>
        <v>0.015955</v>
      </c>
      <c r="P135">
        <f t="shared" si="55"/>
        <v>59520</v>
      </c>
      <c r="Q135" s="16">
        <f t="shared" si="56"/>
        <v>0.01488</v>
      </c>
      <c r="T135">
        <f t="shared" si="57"/>
        <v>68110</v>
      </c>
      <c r="U135" s="16">
        <f t="shared" si="58"/>
        <v>0.0170275</v>
      </c>
      <c r="AR135" s="25"/>
    </row>
    <row r="136" spans="2:44" ht="12.75">
      <c r="B136" s="64">
        <f t="shared" si="64"/>
        <v>70000</v>
      </c>
      <c r="C136" s="10">
        <f t="shared" si="63"/>
        <v>10362</v>
      </c>
      <c r="D136" s="16">
        <f t="shared" si="49"/>
        <v>0.14802857142857143</v>
      </c>
      <c r="E136" s="10">
        <f t="shared" si="65"/>
        <v>8169</v>
      </c>
      <c r="F136" s="16">
        <f t="shared" si="50"/>
        <v>0.1167</v>
      </c>
      <c r="G136">
        <f t="shared" si="66"/>
        <v>7268</v>
      </c>
      <c r="H136" s="16">
        <f t="shared" si="61"/>
        <v>0.10382857142857142</v>
      </c>
      <c r="I136" s="64">
        <f t="shared" si="67"/>
        <v>4500000</v>
      </c>
      <c r="J136">
        <f t="shared" si="48"/>
        <v>82860</v>
      </c>
      <c r="K136" s="208">
        <f t="shared" si="52"/>
        <v>0.018413333333333334</v>
      </c>
      <c r="M136">
        <f t="shared" si="53"/>
        <v>73820</v>
      </c>
      <c r="N136" s="16">
        <f t="shared" si="54"/>
        <v>0.016404444444444444</v>
      </c>
      <c r="P136">
        <f t="shared" si="55"/>
        <v>69520</v>
      </c>
      <c r="Q136" s="16">
        <f t="shared" si="56"/>
        <v>0.015448888888888889</v>
      </c>
      <c r="T136">
        <f t="shared" si="57"/>
        <v>78110</v>
      </c>
      <c r="U136" s="16">
        <f t="shared" si="58"/>
        <v>0.017357777777777778</v>
      </c>
      <c r="AR136" s="25"/>
    </row>
    <row r="137" spans="2:44" ht="12.75">
      <c r="B137" s="64">
        <f t="shared" si="64"/>
        <v>75000</v>
      </c>
      <c r="C137" s="10">
        <f t="shared" si="63"/>
        <v>11345</v>
      </c>
      <c r="D137" s="16">
        <f t="shared" si="49"/>
        <v>0.15126666666666666</v>
      </c>
      <c r="E137" s="10">
        <f t="shared" si="65"/>
        <v>9152</v>
      </c>
      <c r="F137" s="16">
        <f t="shared" si="50"/>
        <v>0.12202666666666667</v>
      </c>
      <c r="G137">
        <f t="shared" si="66"/>
        <v>8251</v>
      </c>
      <c r="H137" s="16">
        <f t="shared" si="61"/>
        <v>0.11001333333333334</v>
      </c>
      <c r="I137" s="64">
        <f t="shared" si="67"/>
        <v>5000000</v>
      </c>
      <c r="J137">
        <f t="shared" si="48"/>
        <v>92860</v>
      </c>
      <c r="K137" s="208">
        <f t="shared" si="52"/>
        <v>0.018572</v>
      </c>
      <c r="M137">
        <f t="shared" si="53"/>
        <v>83820</v>
      </c>
      <c r="N137" s="16">
        <f t="shared" si="54"/>
        <v>0.016764</v>
      </c>
      <c r="P137">
        <f t="shared" si="55"/>
        <v>79520</v>
      </c>
      <c r="Q137" s="16">
        <f t="shared" si="56"/>
        <v>0.015904</v>
      </c>
      <c r="T137">
        <f t="shared" si="57"/>
        <v>88110</v>
      </c>
      <c r="U137" s="16">
        <f t="shared" si="58"/>
        <v>0.017622</v>
      </c>
      <c r="AR137" s="25"/>
    </row>
    <row r="138" spans="2:44" ht="12.75">
      <c r="B138" s="64">
        <f t="shared" si="64"/>
        <v>80000</v>
      </c>
      <c r="C138" s="10">
        <f t="shared" si="63"/>
        <v>12328</v>
      </c>
      <c r="D138" s="16">
        <f t="shared" si="49"/>
        <v>0.1541</v>
      </c>
      <c r="E138" s="10">
        <f t="shared" si="65"/>
        <v>10135</v>
      </c>
      <c r="F138" s="16">
        <f t="shared" si="50"/>
        <v>0.1266875</v>
      </c>
      <c r="G138">
        <f t="shared" si="66"/>
        <v>9234</v>
      </c>
      <c r="H138" s="16">
        <f t="shared" si="61"/>
        <v>0.115425</v>
      </c>
      <c r="I138" s="64">
        <f t="shared" si="67"/>
        <v>5500000</v>
      </c>
      <c r="J138">
        <f t="shared" si="48"/>
        <v>102860</v>
      </c>
      <c r="K138" s="208">
        <f t="shared" si="52"/>
        <v>0.01870181818181818</v>
      </c>
      <c r="M138">
        <f t="shared" si="53"/>
        <v>93820</v>
      </c>
      <c r="N138" s="16">
        <f t="shared" si="54"/>
        <v>0.01705818181818182</v>
      </c>
      <c r="P138">
        <f t="shared" si="55"/>
        <v>89520</v>
      </c>
      <c r="Q138" s="16">
        <f t="shared" si="56"/>
        <v>0.016276363636363637</v>
      </c>
      <c r="T138">
        <f t="shared" si="57"/>
        <v>98110</v>
      </c>
      <c r="U138" s="16">
        <f t="shared" si="58"/>
        <v>0.01783818181818182</v>
      </c>
      <c r="AR138" s="25"/>
    </row>
    <row r="139" spans="2:44" ht="12.75">
      <c r="B139" s="64">
        <f t="shared" si="64"/>
        <v>85000</v>
      </c>
      <c r="C139" s="10">
        <f t="shared" si="63"/>
        <v>13294</v>
      </c>
      <c r="D139" s="16">
        <f t="shared" si="49"/>
        <v>0.1564</v>
      </c>
      <c r="E139" s="10">
        <f t="shared" si="65"/>
        <v>11118</v>
      </c>
      <c r="F139" s="16">
        <f t="shared" si="50"/>
        <v>0.1308</v>
      </c>
      <c r="G139">
        <f t="shared" si="66"/>
        <v>10217</v>
      </c>
      <c r="H139" s="16">
        <f t="shared" si="61"/>
        <v>0.1202</v>
      </c>
      <c r="I139" s="64">
        <f t="shared" si="67"/>
        <v>6000000</v>
      </c>
      <c r="J139">
        <f t="shared" si="48"/>
        <v>112860</v>
      </c>
      <c r="K139" s="208">
        <f t="shared" si="52"/>
        <v>0.01881</v>
      </c>
      <c r="M139">
        <f t="shared" si="53"/>
        <v>103820</v>
      </c>
      <c r="N139" s="16">
        <f t="shared" si="54"/>
        <v>0.017303333333333334</v>
      </c>
      <c r="P139">
        <f t="shared" si="55"/>
        <v>99520</v>
      </c>
      <c r="Q139" s="16">
        <f t="shared" si="56"/>
        <v>0.016586666666666666</v>
      </c>
      <c r="T139">
        <f t="shared" si="57"/>
        <v>108110</v>
      </c>
      <c r="U139" s="16">
        <f t="shared" si="58"/>
        <v>0.018018333333333334</v>
      </c>
      <c r="AR139" s="25"/>
    </row>
    <row r="140" spans="2:44" ht="12.75">
      <c r="B140" s="64">
        <f t="shared" si="64"/>
        <v>90000</v>
      </c>
      <c r="C140" s="10">
        <f t="shared" si="63"/>
        <v>14226</v>
      </c>
      <c r="D140" s="16">
        <f t="shared" si="49"/>
        <v>0.15806666666666666</v>
      </c>
      <c r="E140" s="10">
        <f t="shared" si="65"/>
        <v>12101</v>
      </c>
      <c r="F140" s="16">
        <f t="shared" si="50"/>
        <v>0.13445555555555555</v>
      </c>
      <c r="G140">
        <f t="shared" si="66"/>
        <v>11200</v>
      </c>
      <c r="H140" s="16">
        <f t="shared" si="61"/>
        <v>0.12444444444444444</v>
      </c>
      <c r="I140" s="64">
        <f t="shared" si="67"/>
        <v>6500000</v>
      </c>
      <c r="J140">
        <f t="shared" si="48"/>
        <v>122860</v>
      </c>
      <c r="K140" s="208">
        <f t="shared" si="52"/>
        <v>0.018901538461538463</v>
      </c>
      <c r="M140">
        <f t="shared" si="53"/>
        <v>113820</v>
      </c>
      <c r="N140" s="16">
        <f t="shared" si="54"/>
        <v>0.01751076923076923</v>
      </c>
      <c r="P140">
        <f t="shared" si="55"/>
        <v>109520</v>
      </c>
      <c r="Q140" s="16">
        <f t="shared" si="56"/>
        <v>0.01684923076923077</v>
      </c>
      <c r="T140">
        <f t="shared" si="57"/>
        <v>118110</v>
      </c>
      <c r="U140" s="16">
        <f t="shared" si="58"/>
        <v>0.01817076923076923</v>
      </c>
      <c r="AR140" s="25"/>
    </row>
    <row r="141" spans="2:44" ht="12.75">
      <c r="B141" s="64">
        <f t="shared" si="64"/>
        <v>95000</v>
      </c>
      <c r="C141" s="10">
        <f t="shared" si="63"/>
        <v>15158</v>
      </c>
      <c r="D141" s="16">
        <f t="shared" si="49"/>
        <v>0.1595578947368421</v>
      </c>
      <c r="E141" s="10">
        <f t="shared" si="65"/>
        <v>13084</v>
      </c>
      <c r="F141" s="16">
        <f t="shared" si="50"/>
        <v>0.1377263157894737</v>
      </c>
      <c r="G141">
        <f t="shared" si="66"/>
        <v>12183</v>
      </c>
      <c r="H141" s="16">
        <f t="shared" si="61"/>
        <v>0.1282421052631579</v>
      </c>
      <c r="I141" s="64">
        <f t="shared" si="67"/>
        <v>7000000</v>
      </c>
      <c r="J141">
        <f t="shared" si="48"/>
        <v>132860</v>
      </c>
      <c r="K141" s="208">
        <f t="shared" si="52"/>
        <v>0.01898</v>
      </c>
      <c r="M141">
        <f t="shared" si="53"/>
        <v>123820</v>
      </c>
      <c r="N141" s="16">
        <f t="shared" si="54"/>
        <v>0.01768857142857143</v>
      </c>
      <c r="P141">
        <f t="shared" si="55"/>
        <v>119520</v>
      </c>
      <c r="Q141" s="16">
        <f t="shared" si="56"/>
        <v>0.017074285714285715</v>
      </c>
      <c r="T141">
        <f t="shared" si="57"/>
        <v>128110</v>
      </c>
      <c r="U141" s="16">
        <f t="shared" si="58"/>
        <v>0.018301428571428573</v>
      </c>
      <c r="AR141" s="25"/>
    </row>
    <row r="142" spans="2:44" ht="12.75">
      <c r="B142" s="64">
        <f t="shared" si="64"/>
        <v>100000</v>
      </c>
      <c r="C142" s="10">
        <f t="shared" si="63"/>
        <v>16090.000000000002</v>
      </c>
      <c r="D142" s="16">
        <f t="shared" si="49"/>
        <v>0.16090000000000002</v>
      </c>
      <c r="E142" s="10">
        <f t="shared" si="65"/>
        <v>14067</v>
      </c>
      <c r="F142" s="16">
        <f t="shared" si="50"/>
        <v>0.14067</v>
      </c>
      <c r="G142">
        <f t="shared" si="66"/>
        <v>13166</v>
      </c>
      <c r="H142" s="16">
        <f t="shared" si="61"/>
        <v>0.13166</v>
      </c>
      <c r="I142" s="64">
        <f t="shared" si="67"/>
        <v>7500000</v>
      </c>
      <c r="J142">
        <f t="shared" si="48"/>
        <v>142860</v>
      </c>
      <c r="K142" s="208">
        <f t="shared" si="52"/>
        <v>0.019048</v>
      </c>
      <c r="M142">
        <f t="shared" si="53"/>
        <v>133820</v>
      </c>
      <c r="N142" s="16">
        <f t="shared" si="54"/>
        <v>0.017842666666666666</v>
      </c>
      <c r="P142">
        <f t="shared" si="55"/>
        <v>129520</v>
      </c>
      <c r="Q142" s="16">
        <f t="shared" si="56"/>
        <v>0.017269333333333334</v>
      </c>
      <c r="T142">
        <f t="shared" si="57"/>
        <v>138110</v>
      </c>
      <c r="U142" s="16">
        <f t="shared" si="58"/>
        <v>0.018414666666666666</v>
      </c>
      <c r="AR142" s="25"/>
    </row>
    <row r="143" spans="2:44" ht="12.75">
      <c r="B143" s="64">
        <f t="shared" si="64"/>
        <v>105000</v>
      </c>
      <c r="C143" s="10">
        <f t="shared" si="63"/>
        <v>17022</v>
      </c>
      <c r="D143" s="16">
        <f t="shared" si="49"/>
        <v>0.1621142857142857</v>
      </c>
      <c r="E143" s="10">
        <f t="shared" si="65"/>
        <v>15050</v>
      </c>
      <c r="F143" s="16">
        <f t="shared" si="50"/>
        <v>0.14333333333333334</v>
      </c>
      <c r="G143">
        <f t="shared" si="66"/>
        <v>14149</v>
      </c>
      <c r="H143" s="16">
        <f t="shared" si="61"/>
        <v>0.13475238095238096</v>
      </c>
      <c r="I143" s="64">
        <f>I142+2500000</f>
        <v>10000000</v>
      </c>
      <c r="J143">
        <f t="shared" si="48"/>
        <v>192860</v>
      </c>
      <c r="K143" s="208">
        <f t="shared" si="52"/>
        <v>0.019286</v>
      </c>
      <c r="M143">
        <f t="shared" si="53"/>
        <v>183820</v>
      </c>
      <c r="N143" s="16">
        <f t="shared" si="54"/>
        <v>0.018382</v>
      </c>
      <c r="P143">
        <f t="shared" si="55"/>
        <v>179520</v>
      </c>
      <c r="Q143" s="16">
        <f t="shared" si="56"/>
        <v>0.017952</v>
      </c>
      <c r="T143">
        <f t="shared" si="57"/>
        <v>188110</v>
      </c>
      <c r="U143" s="16">
        <f t="shared" si="58"/>
        <v>0.018811</v>
      </c>
      <c r="AR143" s="25"/>
    </row>
    <row r="144" spans="2:44" ht="12.75">
      <c r="B144" s="64">
        <f t="shared" si="64"/>
        <v>110000</v>
      </c>
      <c r="C144" s="10">
        <f t="shared" si="63"/>
        <v>17954</v>
      </c>
      <c r="D144" s="16">
        <f t="shared" si="49"/>
        <v>0.16321818181818182</v>
      </c>
      <c r="E144" s="10">
        <f t="shared" si="65"/>
        <v>16033.000000000002</v>
      </c>
      <c r="F144" s="16">
        <f t="shared" si="50"/>
        <v>0.14575454545454547</v>
      </c>
      <c r="G144">
        <f t="shared" si="66"/>
        <v>15132</v>
      </c>
      <c r="H144" s="16">
        <f t="shared" si="61"/>
        <v>0.13756363636363636</v>
      </c>
      <c r="I144" s="64">
        <f aca="true" t="shared" si="68" ref="I144:I151">I143+2500000</f>
        <v>12500000</v>
      </c>
      <c r="J144">
        <f t="shared" si="48"/>
        <v>242860</v>
      </c>
      <c r="K144" s="208">
        <f t="shared" si="52"/>
        <v>0.0194288</v>
      </c>
      <c r="M144">
        <f t="shared" si="53"/>
        <v>233820</v>
      </c>
      <c r="N144" s="16">
        <f t="shared" si="54"/>
        <v>0.0187056</v>
      </c>
      <c r="P144">
        <f t="shared" si="55"/>
        <v>229520</v>
      </c>
      <c r="Q144" s="16">
        <f t="shared" si="56"/>
        <v>0.0183616</v>
      </c>
      <c r="T144">
        <f t="shared" si="57"/>
        <v>238110</v>
      </c>
      <c r="U144" s="16">
        <f t="shared" si="58"/>
        <v>0.0190488</v>
      </c>
      <c r="AR144" s="25"/>
    </row>
    <row r="145" spans="2:44" ht="12.75">
      <c r="B145" s="64">
        <f t="shared" si="64"/>
        <v>115000</v>
      </c>
      <c r="C145" s="10">
        <f t="shared" si="63"/>
        <v>18886</v>
      </c>
      <c r="D145" s="16">
        <f t="shared" si="49"/>
        <v>0.16422608695652174</v>
      </c>
      <c r="E145" s="10">
        <f t="shared" si="65"/>
        <v>17016</v>
      </c>
      <c r="F145" s="16">
        <f t="shared" si="50"/>
        <v>0.14796521739130436</v>
      </c>
      <c r="G145">
        <f t="shared" si="66"/>
        <v>16115.000000000002</v>
      </c>
      <c r="H145" s="16">
        <f t="shared" si="61"/>
        <v>0.1401304347826087</v>
      </c>
      <c r="I145" s="64">
        <f t="shared" si="68"/>
        <v>15000000</v>
      </c>
      <c r="J145">
        <f t="shared" si="48"/>
        <v>292860</v>
      </c>
      <c r="K145" s="208">
        <f t="shared" si="52"/>
        <v>0.019524</v>
      </c>
      <c r="M145">
        <f t="shared" si="53"/>
        <v>283820</v>
      </c>
      <c r="N145" s="16">
        <f t="shared" si="54"/>
        <v>0.01892133333333333</v>
      </c>
      <c r="P145">
        <f t="shared" si="55"/>
        <v>279520</v>
      </c>
      <c r="Q145" s="16">
        <f t="shared" si="56"/>
        <v>0.018634666666666667</v>
      </c>
      <c r="T145">
        <f t="shared" si="57"/>
        <v>288110</v>
      </c>
      <c r="U145" s="16">
        <f t="shared" si="58"/>
        <v>0.019207333333333333</v>
      </c>
      <c r="AR145" s="25"/>
    </row>
    <row r="146" spans="2:44" ht="12.75">
      <c r="B146" s="64">
        <f t="shared" si="64"/>
        <v>120000</v>
      </c>
      <c r="C146" s="10">
        <f t="shared" si="63"/>
        <v>19818</v>
      </c>
      <c r="D146" s="16">
        <f t="shared" si="49"/>
        <v>0.16515</v>
      </c>
      <c r="E146" s="10">
        <f t="shared" si="65"/>
        <v>17999</v>
      </c>
      <c r="F146" s="16">
        <f t="shared" si="50"/>
        <v>0.14999166666666666</v>
      </c>
      <c r="G146">
        <f t="shared" si="66"/>
        <v>17098</v>
      </c>
      <c r="H146" s="16">
        <f t="shared" si="61"/>
        <v>0.14248333333333332</v>
      </c>
      <c r="I146" s="64">
        <f t="shared" si="68"/>
        <v>17500000</v>
      </c>
      <c r="J146">
        <f t="shared" si="48"/>
        <v>342860</v>
      </c>
      <c r="K146" s="208">
        <f t="shared" si="52"/>
        <v>0.019592</v>
      </c>
      <c r="M146">
        <f t="shared" si="53"/>
        <v>333820</v>
      </c>
      <c r="N146" s="16">
        <f t="shared" si="54"/>
        <v>0.019075428571428573</v>
      </c>
      <c r="P146">
        <f t="shared" si="55"/>
        <v>329520</v>
      </c>
      <c r="Q146" s="16">
        <f t="shared" si="56"/>
        <v>0.018829714285714286</v>
      </c>
      <c r="T146">
        <f t="shared" si="57"/>
        <v>338110</v>
      </c>
      <c r="U146" s="16">
        <f t="shared" si="58"/>
        <v>0.01932057142857143</v>
      </c>
      <c r="AR146" s="25"/>
    </row>
    <row r="147" spans="2:44" ht="12.75">
      <c r="B147" s="64">
        <f>B146+10000</f>
        <v>130000</v>
      </c>
      <c r="C147" s="10">
        <f t="shared" si="63"/>
        <v>21750</v>
      </c>
      <c r="D147" s="16">
        <f t="shared" si="49"/>
        <v>0.1673076923076923</v>
      </c>
      <c r="E147" s="10">
        <f t="shared" si="65"/>
        <v>19914</v>
      </c>
      <c r="F147" s="16">
        <f t="shared" si="50"/>
        <v>0.1531846153846154</v>
      </c>
      <c r="G147">
        <f t="shared" si="66"/>
        <v>19013</v>
      </c>
      <c r="H147" s="16">
        <f t="shared" si="61"/>
        <v>0.14625384615384615</v>
      </c>
      <c r="I147" s="64">
        <f t="shared" si="68"/>
        <v>20000000</v>
      </c>
      <c r="J147">
        <f t="shared" si="48"/>
        <v>392860</v>
      </c>
      <c r="K147" s="208">
        <f t="shared" si="52"/>
        <v>0.019643</v>
      </c>
      <c r="M147">
        <f t="shared" si="53"/>
        <v>383820</v>
      </c>
      <c r="N147" s="16">
        <f t="shared" si="54"/>
        <v>0.019191</v>
      </c>
      <c r="P147">
        <f t="shared" si="55"/>
        <v>379520</v>
      </c>
      <c r="Q147" s="16">
        <f t="shared" si="56"/>
        <v>0.018976</v>
      </c>
      <c r="T147">
        <f t="shared" si="57"/>
        <v>388110</v>
      </c>
      <c r="U147" s="16">
        <f t="shared" si="58"/>
        <v>0.0194055</v>
      </c>
      <c r="AR147" s="25"/>
    </row>
    <row r="148" spans="2:44" ht="12.75">
      <c r="B148" s="64">
        <f aca="true" t="shared" si="69" ref="B148:B154">B147+10000</f>
        <v>140000</v>
      </c>
      <c r="C148" s="10">
        <f t="shared" si="63"/>
        <v>23750</v>
      </c>
      <c r="D148" s="16">
        <f t="shared" si="49"/>
        <v>0.16964285714285715</v>
      </c>
      <c r="E148" s="10">
        <f t="shared" si="65"/>
        <v>21829</v>
      </c>
      <c r="F148" s="16">
        <f t="shared" si="50"/>
        <v>0.15592142857142857</v>
      </c>
      <c r="G148">
        <f t="shared" si="66"/>
        <v>20928</v>
      </c>
      <c r="H148" s="16">
        <f t="shared" si="61"/>
        <v>0.14948571428571428</v>
      </c>
      <c r="I148" s="64">
        <f t="shared" si="68"/>
        <v>22500000</v>
      </c>
      <c r="J148">
        <f t="shared" si="48"/>
        <v>442860</v>
      </c>
      <c r="K148" s="208">
        <f t="shared" si="52"/>
        <v>0.019682666666666668</v>
      </c>
      <c r="M148">
        <f t="shared" si="53"/>
        <v>433820</v>
      </c>
      <c r="N148" s="16">
        <f t="shared" si="54"/>
        <v>0.01928088888888889</v>
      </c>
      <c r="P148">
        <f t="shared" si="55"/>
        <v>429520</v>
      </c>
      <c r="Q148" s="16">
        <f t="shared" si="56"/>
        <v>0.01908977777777778</v>
      </c>
      <c r="T148">
        <f t="shared" si="57"/>
        <v>438110</v>
      </c>
      <c r="U148" s="16">
        <f t="shared" si="58"/>
        <v>0.019471555555555554</v>
      </c>
      <c r="AR148" s="25"/>
    </row>
    <row r="149" spans="2:44" ht="12.75">
      <c r="B149" s="64">
        <f t="shared" si="69"/>
        <v>150000</v>
      </c>
      <c r="C149" s="10">
        <f t="shared" si="63"/>
        <v>25750</v>
      </c>
      <c r="D149" s="16">
        <f t="shared" si="49"/>
        <v>0.17166666666666666</v>
      </c>
      <c r="E149" s="10">
        <f t="shared" si="65"/>
        <v>23710</v>
      </c>
      <c r="F149" s="16">
        <f t="shared" si="50"/>
        <v>0.15806666666666666</v>
      </c>
      <c r="G149">
        <f t="shared" si="66"/>
        <v>22843</v>
      </c>
      <c r="H149" s="16">
        <f t="shared" si="61"/>
        <v>0.15228666666666665</v>
      </c>
      <c r="I149" s="64">
        <f t="shared" si="68"/>
        <v>25000000</v>
      </c>
      <c r="J149">
        <f t="shared" si="48"/>
        <v>492860</v>
      </c>
      <c r="K149" s="208">
        <f t="shared" si="52"/>
        <v>0.0197144</v>
      </c>
      <c r="M149">
        <f t="shared" si="53"/>
        <v>483820</v>
      </c>
      <c r="N149" s="16">
        <f t="shared" si="54"/>
        <v>0.0193528</v>
      </c>
      <c r="P149">
        <f t="shared" si="55"/>
        <v>479520</v>
      </c>
      <c r="Q149" s="16">
        <f t="shared" si="56"/>
        <v>0.0191808</v>
      </c>
      <c r="T149">
        <f t="shared" si="57"/>
        <v>488110</v>
      </c>
      <c r="U149" s="16">
        <f t="shared" si="58"/>
        <v>0.0195244</v>
      </c>
      <c r="AR149" s="25"/>
    </row>
    <row r="150" spans="2:44" ht="12.75">
      <c r="B150" s="64">
        <f t="shared" si="69"/>
        <v>160000</v>
      </c>
      <c r="C150" s="10">
        <f t="shared" si="63"/>
        <v>27750</v>
      </c>
      <c r="D150" s="16">
        <f t="shared" si="49"/>
        <v>0.1734375</v>
      </c>
      <c r="E150" s="10">
        <f t="shared" si="65"/>
        <v>25574</v>
      </c>
      <c r="F150" s="16">
        <f t="shared" si="50"/>
        <v>0.1598375</v>
      </c>
      <c r="G150">
        <f t="shared" si="66"/>
        <v>24724</v>
      </c>
      <c r="H150" s="16">
        <f t="shared" si="61"/>
        <v>0.154525</v>
      </c>
      <c r="I150" s="64">
        <f t="shared" si="68"/>
        <v>27500000</v>
      </c>
      <c r="J150">
        <f t="shared" si="48"/>
        <v>542860</v>
      </c>
      <c r="K150" s="208">
        <f t="shared" si="52"/>
        <v>0.019740363636363636</v>
      </c>
      <c r="M150">
        <f t="shared" si="53"/>
        <v>533820</v>
      </c>
      <c r="N150" s="16">
        <f t="shared" si="54"/>
        <v>0.019411636363636364</v>
      </c>
      <c r="P150">
        <f t="shared" si="55"/>
        <v>529520</v>
      </c>
      <c r="Q150" s="16">
        <f t="shared" si="56"/>
        <v>0.01925527272727273</v>
      </c>
      <c r="T150">
        <f t="shared" si="57"/>
        <v>538110</v>
      </c>
      <c r="U150" s="16">
        <f t="shared" si="58"/>
        <v>0.019567636363636363</v>
      </c>
      <c r="AR150" s="25"/>
    </row>
    <row r="151" spans="2:44" ht="12.75">
      <c r="B151" s="64">
        <f t="shared" si="69"/>
        <v>170000</v>
      </c>
      <c r="C151" s="10">
        <f t="shared" si="63"/>
        <v>29750</v>
      </c>
      <c r="D151" s="16">
        <f t="shared" si="49"/>
        <v>0.175</v>
      </c>
      <c r="E151" s="10">
        <f t="shared" si="65"/>
        <v>27438</v>
      </c>
      <c r="F151" s="16">
        <f t="shared" si="50"/>
        <v>0.1614</v>
      </c>
      <c r="G151">
        <f t="shared" si="66"/>
        <v>26588</v>
      </c>
      <c r="H151" s="16">
        <f t="shared" si="61"/>
        <v>0.1564</v>
      </c>
      <c r="I151" s="64">
        <f t="shared" si="68"/>
        <v>30000000</v>
      </c>
      <c r="J151">
        <f t="shared" si="48"/>
        <v>592860</v>
      </c>
      <c r="K151" s="208">
        <f t="shared" si="52"/>
        <v>0.019762</v>
      </c>
      <c r="M151">
        <f t="shared" si="53"/>
        <v>583820</v>
      </c>
      <c r="N151" s="16">
        <f t="shared" si="54"/>
        <v>0.019460666666666668</v>
      </c>
      <c r="P151">
        <f t="shared" si="55"/>
        <v>579520</v>
      </c>
      <c r="Q151" s="16">
        <f t="shared" si="56"/>
        <v>0.019317333333333332</v>
      </c>
      <c r="T151">
        <f t="shared" si="57"/>
        <v>588110</v>
      </c>
      <c r="U151" s="16">
        <f t="shared" si="58"/>
        <v>0.019603666666666665</v>
      </c>
      <c r="AR151" s="25"/>
    </row>
    <row r="152" spans="2:44" ht="12.75">
      <c r="B152" s="64">
        <f t="shared" si="69"/>
        <v>180000</v>
      </c>
      <c r="C152" s="10">
        <f t="shared" si="63"/>
        <v>31750.000000000004</v>
      </c>
      <c r="D152" s="16">
        <f t="shared" si="49"/>
        <v>0.1763888888888889</v>
      </c>
      <c r="E152" s="10">
        <f t="shared" si="65"/>
        <v>29302</v>
      </c>
      <c r="F152" s="16">
        <f t="shared" si="50"/>
        <v>0.1627888888888889</v>
      </c>
      <c r="G152">
        <f t="shared" si="66"/>
        <v>28452</v>
      </c>
      <c r="H152" s="16">
        <f t="shared" si="61"/>
        <v>0.15806666666666666</v>
      </c>
      <c r="I152" s="64">
        <f>I151+10000000</f>
        <v>40000000</v>
      </c>
      <c r="J152">
        <f t="shared" si="48"/>
        <v>792860</v>
      </c>
      <c r="K152" s="208">
        <f t="shared" si="52"/>
        <v>0.0198215</v>
      </c>
      <c r="M152">
        <f t="shared" si="53"/>
        <v>783820</v>
      </c>
      <c r="N152" s="16">
        <f t="shared" si="54"/>
        <v>0.0195955</v>
      </c>
      <c r="P152">
        <f t="shared" si="55"/>
        <v>779520</v>
      </c>
      <c r="Q152" s="16">
        <f t="shared" si="56"/>
        <v>0.019488</v>
      </c>
      <c r="T152">
        <f t="shared" si="57"/>
        <v>788110</v>
      </c>
      <c r="U152" s="16">
        <f t="shared" si="58"/>
        <v>0.01970275</v>
      </c>
      <c r="AR152" s="25"/>
    </row>
    <row r="153" spans="2:44" ht="12.75">
      <c r="B153" s="64">
        <f t="shared" si="69"/>
        <v>190000</v>
      </c>
      <c r="C153" s="10">
        <f t="shared" si="63"/>
        <v>33750</v>
      </c>
      <c r="D153" s="16">
        <f t="shared" si="49"/>
        <v>0.17763157894736842</v>
      </c>
      <c r="E153" s="10">
        <f t="shared" si="65"/>
        <v>31166.000000000004</v>
      </c>
      <c r="F153" s="16">
        <f t="shared" si="50"/>
        <v>0.16403157894736844</v>
      </c>
      <c r="G153">
        <f t="shared" si="66"/>
        <v>30316</v>
      </c>
      <c r="H153" s="16">
        <f t="shared" si="61"/>
        <v>0.1595578947368421</v>
      </c>
      <c r="I153" s="64">
        <f aca="true" t="shared" si="70" ref="I153:I158">I152+10000000</f>
        <v>50000000</v>
      </c>
      <c r="J153">
        <f t="shared" si="48"/>
        <v>992860</v>
      </c>
      <c r="K153" s="208">
        <f t="shared" si="52"/>
        <v>0.0198572</v>
      </c>
      <c r="M153">
        <f t="shared" si="53"/>
        <v>983820</v>
      </c>
      <c r="N153" s="16">
        <f t="shared" si="54"/>
        <v>0.0196764</v>
      </c>
      <c r="P153">
        <f t="shared" si="55"/>
        <v>979520</v>
      </c>
      <c r="Q153" s="16">
        <f t="shared" si="56"/>
        <v>0.0195904</v>
      </c>
      <c r="T153">
        <f t="shared" si="57"/>
        <v>988110</v>
      </c>
      <c r="U153" s="16">
        <f t="shared" si="58"/>
        <v>0.0197622</v>
      </c>
      <c r="AR153" s="25"/>
    </row>
    <row r="154" spans="2:44" ht="12.75">
      <c r="B154" s="64">
        <f t="shared" si="69"/>
        <v>200000</v>
      </c>
      <c r="C154" s="10">
        <f t="shared" si="63"/>
        <v>35750</v>
      </c>
      <c r="D154" s="16">
        <f t="shared" si="49"/>
        <v>0.17875</v>
      </c>
      <c r="E154" s="10">
        <f t="shared" si="65"/>
        <v>33030</v>
      </c>
      <c r="F154" s="16">
        <f t="shared" si="50"/>
        <v>0.16515</v>
      </c>
      <c r="G154">
        <f t="shared" si="66"/>
        <v>32180.000000000004</v>
      </c>
      <c r="H154" s="16">
        <f t="shared" si="61"/>
        <v>0.16090000000000002</v>
      </c>
      <c r="I154" s="64">
        <f t="shared" si="70"/>
        <v>60000000</v>
      </c>
      <c r="J154">
        <f t="shared" si="48"/>
        <v>1192860</v>
      </c>
      <c r="K154" s="208">
        <f t="shared" si="52"/>
        <v>0.019881</v>
      </c>
      <c r="M154">
        <f t="shared" si="53"/>
        <v>1183820</v>
      </c>
      <c r="N154" s="16">
        <f t="shared" si="54"/>
        <v>0.019730333333333332</v>
      </c>
      <c r="P154">
        <f t="shared" si="55"/>
        <v>1179520</v>
      </c>
      <c r="Q154" s="16">
        <f t="shared" si="56"/>
        <v>0.019658666666666668</v>
      </c>
      <c r="T154">
        <f t="shared" si="57"/>
        <v>1188110</v>
      </c>
      <c r="U154" s="16">
        <f t="shared" si="58"/>
        <v>0.019801833333333334</v>
      </c>
      <c r="AR154" s="25"/>
    </row>
    <row r="155" spans="2:44" ht="12.75">
      <c r="B155" s="64">
        <f>B154+50000</f>
        <v>250000</v>
      </c>
      <c r="C155" s="10">
        <f t="shared" si="63"/>
        <v>45750</v>
      </c>
      <c r="D155" s="16">
        <f t="shared" si="49"/>
        <v>0.183</v>
      </c>
      <c r="E155" s="10">
        <f t="shared" si="65"/>
        <v>42350</v>
      </c>
      <c r="F155" s="16">
        <f t="shared" si="50"/>
        <v>0.1694</v>
      </c>
      <c r="G155">
        <f t="shared" si="66"/>
        <v>41500</v>
      </c>
      <c r="H155" s="16">
        <f t="shared" si="61"/>
        <v>0.166</v>
      </c>
      <c r="I155" s="64">
        <f t="shared" si="70"/>
        <v>70000000</v>
      </c>
      <c r="J155">
        <f t="shared" si="48"/>
        <v>1392860</v>
      </c>
      <c r="K155" s="208">
        <f t="shared" si="52"/>
        <v>0.019898</v>
      </c>
      <c r="M155">
        <f t="shared" si="53"/>
        <v>1383820</v>
      </c>
      <c r="N155" s="16">
        <f t="shared" si="54"/>
        <v>0.019768857142857144</v>
      </c>
      <c r="P155">
        <f t="shared" si="55"/>
        <v>1379520</v>
      </c>
      <c r="Q155" s="16">
        <f t="shared" si="56"/>
        <v>0.01970742857142857</v>
      </c>
      <c r="T155">
        <f t="shared" si="57"/>
        <v>1388110</v>
      </c>
      <c r="U155" s="16">
        <f t="shared" si="58"/>
        <v>0.01983014285714286</v>
      </c>
      <c r="AR155" s="25"/>
    </row>
    <row r="156" spans="2:44" ht="12.75">
      <c r="B156" s="64">
        <f>B155+50000</f>
        <v>300000</v>
      </c>
      <c r="C156" s="10">
        <f t="shared" si="63"/>
        <v>55750</v>
      </c>
      <c r="D156" s="16">
        <f t="shared" si="49"/>
        <v>0.18583333333333332</v>
      </c>
      <c r="E156" s="10">
        <f t="shared" si="65"/>
        <v>52350</v>
      </c>
      <c r="F156" s="16">
        <f t="shared" si="50"/>
        <v>0.1745</v>
      </c>
      <c r="G156">
        <f t="shared" si="66"/>
        <v>51500</v>
      </c>
      <c r="H156" s="16">
        <f t="shared" si="61"/>
        <v>0.17166666666666666</v>
      </c>
      <c r="I156" s="64">
        <f t="shared" si="70"/>
        <v>80000000</v>
      </c>
      <c r="J156">
        <f t="shared" si="48"/>
        <v>1592860</v>
      </c>
      <c r="K156" s="208">
        <f t="shared" si="52"/>
        <v>0.01991075</v>
      </c>
      <c r="M156">
        <f t="shared" si="53"/>
        <v>1583820</v>
      </c>
      <c r="N156" s="16">
        <f t="shared" si="54"/>
        <v>0.01979775</v>
      </c>
      <c r="P156">
        <f t="shared" si="55"/>
        <v>1579520</v>
      </c>
      <c r="Q156" s="16">
        <f t="shared" si="56"/>
        <v>0.019744</v>
      </c>
      <c r="T156">
        <f t="shared" si="57"/>
        <v>1588110</v>
      </c>
      <c r="U156" s="16">
        <f t="shared" si="58"/>
        <v>0.019851375</v>
      </c>
      <c r="AR156" s="25"/>
    </row>
    <row r="157" spans="2:44" ht="12.75">
      <c r="B157" s="64">
        <f>B156+50000</f>
        <v>350000</v>
      </c>
      <c r="C157" s="10">
        <f t="shared" si="63"/>
        <v>65750</v>
      </c>
      <c r="D157" s="16">
        <f t="shared" si="49"/>
        <v>0.18785714285714286</v>
      </c>
      <c r="E157" s="10">
        <f t="shared" si="65"/>
        <v>62350.00000000001</v>
      </c>
      <c r="F157" s="16">
        <f t="shared" si="50"/>
        <v>0.17814285714285716</v>
      </c>
      <c r="G157">
        <f t="shared" si="66"/>
        <v>61500.00000000001</v>
      </c>
      <c r="H157" s="16">
        <f t="shared" si="61"/>
        <v>0.17571428571428574</v>
      </c>
      <c r="I157" s="64">
        <f t="shared" si="70"/>
        <v>90000000</v>
      </c>
      <c r="J157">
        <f t="shared" si="48"/>
        <v>1792860</v>
      </c>
      <c r="K157" s="208">
        <f t="shared" si="52"/>
        <v>0.019920666666666666</v>
      </c>
      <c r="M157">
        <f t="shared" si="53"/>
        <v>1783820</v>
      </c>
      <c r="N157" s="16">
        <f t="shared" si="54"/>
        <v>0.01982022222222222</v>
      </c>
      <c r="P157">
        <f t="shared" si="55"/>
        <v>1779520</v>
      </c>
      <c r="Q157" s="16">
        <f t="shared" si="56"/>
        <v>0.019772444444444443</v>
      </c>
      <c r="T157">
        <f t="shared" si="57"/>
        <v>1788110</v>
      </c>
      <c r="U157" s="16">
        <f t="shared" si="58"/>
        <v>0.01986788888888889</v>
      </c>
      <c r="AR157" s="25"/>
    </row>
    <row r="158" spans="2:44" ht="12.75">
      <c r="B158" s="64">
        <f>B157+50000</f>
        <v>400000</v>
      </c>
      <c r="C158" s="10">
        <f t="shared" si="63"/>
        <v>75750</v>
      </c>
      <c r="D158" s="16">
        <f t="shared" si="49"/>
        <v>0.189375</v>
      </c>
      <c r="E158" s="10">
        <f t="shared" si="65"/>
        <v>72350</v>
      </c>
      <c r="F158" s="16">
        <f t="shared" si="50"/>
        <v>0.180875</v>
      </c>
      <c r="G158">
        <f t="shared" si="66"/>
        <v>71500</v>
      </c>
      <c r="H158" s="16">
        <f t="shared" si="61"/>
        <v>0.17875</v>
      </c>
      <c r="I158" s="64">
        <f t="shared" si="70"/>
        <v>100000000</v>
      </c>
      <c r="J158">
        <f t="shared" si="48"/>
        <v>1992860</v>
      </c>
      <c r="K158" s="208">
        <f t="shared" si="52"/>
        <v>0.0199286</v>
      </c>
      <c r="M158">
        <f t="shared" si="53"/>
        <v>1983820</v>
      </c>
      <c r="N158" s="16">
        <f t="shared" si="54"/>
        <v>0.0198382</v>
      </c>
      <c r="P158">
        <f t="shared" si="55"/>
        <v>1979520</v>
      </c>
      <c r="Q158" s="16">
        <f t="shared" si="56"/>
        <v>0.0197952</v>
      </c>
      <c r="T158">
        <f t="shared" si="57"/>
        <v>1988110</v>
      </c>
      <c r="U158" s="16">
        <f t="shared" si="58"/>
        <v>0.0198811</v>
      </c>
      <c r="AR158" s="25"/>
    </row>
    <row r="159" spans="2:44" ht="12.75">
      <c r="B159" s="64">
        <f aca="true" t="shared" si="71" ref="B159:B164">B158+100000</f>
        <v>500000</v>
      </c>
      <c r="C159" s="10">
        <f t="shared" si="63"/>
        <v>95750</v>
      </c>
      <c r="D159" s="16">
        <f t="shared" si="49"/>
        <v>0.1915</v>
      </c>
      <c r="E159" s="10">
        <f t="shared" si="65"/>
        <v>92350</v>
      </c>
      <c r="F159" s="16">
        <f t="shared" si="50"/>
        <v>0.1847</v>
      </c>
      <c r="G159">
        <f t="shared" si="66"/>
        <v>91500</v>
      </c>
      <c r="H159" s="16">
        <f t="shared" si="61"/>
        <v>0.183</v>
      </c>
      <c r="I159" s="64">
        <f aca="true" t="shared" si="72" ref="I159:I164">I158+50000000</f>
        <v>150000000</v>
      </c>
      <c r="J159">
        <f t="shared" si="48"/>
        <v>2992860</v>
      </c>
      <c r="K159" s="208">
        <f t="shared" si="52"/>
        <v>0.0199524</v>
      </c>
      <c r="M159">
        <f t="shared" si="53"/>
        <v>2983820</v>
      </c>
      <c r="N159" s="16">
        <f t="shared" si="54"/>
        <v>0.019892133333333333</v>
      </c>
      <c r="P159">
        <f t="shared" si="55"/>
        <v>2979520</v>
      </c>
      <c r="Q159" s="16">
        <f t="shared" si="56"/>
        <v>0.019863466666666666</v>
      </c>
      <c r="T159">
        <f t="shared" si="57"/>
        <v>2988110</v>
      </c>
      <c r="U159" s="16">
        <f t="shared" si="58"/>
        <v>0.019920733333333333</v>
      </c>
      <c r="AR159" s="25"/>
    </row>
    <row r="160" spans="2:44" ht="12.75">
      <c r="B160" s="64">
        <f t="shared" si="71"/>
        <v>600000</v>
      </c>
      <c r="C160" s="10">
        <f t="shared" si="63"/>
        <v>115750</v>
      </c>
      <c r="D160" s="16">
        <f t="shared" si="49"/>
        <v>0.19291666666666665</v>
      </c>
      <c r="E160" s="10">
        <f t="shared" si="65"/>
        <v>112350</v>
      </c>
      <c r="F160" s="16">
        <f t="shared" si="50"/>
        <v>0.18725</v>
      </c>
      <c r="G160">
        <f t="shared" si="66"/>
        <v>111500</v>
      </c>
      <c r="H160" s="16">
        <f t="shared" si="61"/>
        <v>0.18583333333333332</v>
      </c>
      <c r="I160" s="64">
        <f t="shared" si="72"/>
        <v>200000000</v>
      </c>
      <c r="J160">
        <f t="shared" si="48"/>
        <v>3992860</v>
      </c>
      <c r="K160" s="208">
        <f t="shared" si="52"/>
        <v>0.0199643</v>
      </c>
      <c r="M160">
        <f t="shared" si="53"/>
        <v>3983820</v>
      </c>
      <c r="N160" s="16">
        <f t="shared" si="54"/>
        <v>0.0199191</v>
      </c>
      <c r="P160">
        <f t="shared" si="55"/>
        <v>3979520</v>
      </c>
      <c r="Q160" s="16">
        <f t="shared" si="56"/>
        <v>0.0198976</v>
      </c>
      <c r="T160">
        <f t="shared" si="57"/>
        <v>3988110</v>
      </c>
      <c r="U160" s="16">
        <f t="shared" si="58"/>
        <v>0.01994055</v>
      </c>
      <c r="AR160" s="25"/>
    </row>
    <row r="161" spans="2:44" ht="12.75">
      <c r="B161" s="64">
        <f t="shared" si="71"/>
        <v>700000</v>
      </c>
      <c r="C161" s="10">
        <f t="shared" si="63"/>
        <v>135750</v>
      </c>
      <c r="D161" s="16">
        <f t="shared" si="49"/>
        <v>0.19392857142857142</v>
      </c>
      <c r="E161" s="10">
        <f t="shared" si="65"/>
        <v>132350</v>
      </c>
      <c r="F161" s="16">
        <f t="shared" si="50"/>
        <v>0.18907142857142858</v>
      </c>
      <c r="G161">
        <f t="shared" si="66"/>
        <v>131500</v>
      </c>
      <c r="H161" s="16">
        <f t="shared" si="61"/>
        <v>0.18785714285714286</v>
      </c>
      <c r="I161" s="64">
        <f t="shared" si="72"/>
        <v>250000000</v>
      </c>
      <c r="J161">
        <f t="shared" si="48"/>
        <v>4992860</v>
      </c>
      <c r="K161" s="208">
        <f t="shared" si="52"/>
        <v>0.01997144</v>
      </c>
      <c r="M161">
        <f t="shared" si="53"/>
        <v>4983820</v>
      </c>
      <c r="N161" s="16">
        <f t="shared" si="54"/>
        <v>0.01993528</v>
      </c>
      <c r="P161">
        <f t="shared" si="55"/>
        <v>4979520</v>
      </c>
      <c r="Q161" s="16">
        <f t="shared" si="56"/>
        <v>0.01991808</v>
      </c>
      <c r="T161">
        <f t="shared" si="57"/>
        <v>4988110</v>
      </c>
      <c r="U161" s="16">
        <f t="shared" si="58"/>
        <v>0.01995244</v>
      </c>
      <c r="AR161" s="25"/>
    </row>
    <row r="162" spans="2:44" ht="12.75">
      <c r="B162" s="64">
        <f t="shared" si="71"/>
        <v>800000</v>
      </c>
      <c r="C162" s="10">
        <f t="shared" si="63"/>
        <v>155750</v>
      </c>
      <c r="D162" s="16">
        <f t="shared" si="49"/>
        <v>0.1946875</v>
      </c>
      <c r="E162" s="10">
        <f t="shared" si="65"/>
        <v>152350</v>
      </c>
      <c r="F162" s="16">
        <f t="shared" si="50"/>
        <v>0.1904375</v>
      </c>
      <c r="G162">
        <f t="shared" si="66"/>
        <v>151500</v>
      </c>
      <c r="H162" s="16">
        <f t="shared" si="61"/>
        <v>0.189375</v>
      </c>
      <c r="I162" s="64">
        <f t="shared" si="72"/>
        <v>300000000</v>
      </c>
      <c r="J162">
        <f t="shared" si="48"/>
        <v>5992860</v>
      </c>
      <c r="K162" s="208">
        <f t="shared" si="52"/>
        <v>0.0199762</v>
      </c>
      <c r="M162">
        <f t="shared" si="53"/>
        <v>5983820</v>
      </c>
      <c r="N162" s="16">
        <f t="shared" si="54"/>
        <v>0.019946066666666668</v>
      </c>
      <c r="P162">
        <f t="shared" si="55"/>
        <v>5979520</v>
      </c>
      <c r="Q162" s="16">
        <f t="shared" si="56"/>
        <v>0.019931733333333333</v>
      </c>
      <c r="T162">
        <f t="shared" si="57"/>
        <v>5988110</v>
      </c>
      <c r="U162" s="16">
        <f t="shared" si="58"/>
        <v>0.019960366666666667</v>
      </c>
      <c r="AR162" s="25"/>
    </row>
    <row r="163" spans="2:44" ht="12.75">
      <c r="B163" s="64">
        <f t="shared" si="71"/>
        <v>900000</v>
      </c>
      <c r="C163" s="10">
        <f t="shared" si="63"/>
        <v>175750</v>
      </c>
      <c r="D163" s="16">
        <f t="shared" si="49"/>
        <v>0.19527777777777777</v>
      </c>
      <c r="E163" s="10">
        <f t="shared" si="65"/>
        <v>172350</v>
      </c>
      <c r="F163" s="16">
        <f t="shared" si="50"/>
        <v>0.1915</v>
      </c>
      <c r="G163">
        <f t="shared" si="66"/>
        <v>171500</v>
      </c>
      <c r="H163" s="16">
        <f t="shared" si="61"/>
        <v>0.19055555555555556</v>
      </c>
      <c r="I163" s="64">
        <f t="shared" si="72"/>
        <v>350000000</v>
      </c>
      <c r="J163">
        <f t="shared" si="48"/>
        <v>6992860</v>
      </c>
      <c r="K163" s="208">
        <f t="shared" si="52"/>
        <v>0.0199796</v>
      </c>
      <c r="M163">
        <f t="shared" si="53"/>
        <v>6983820</v>
      </c>
      <c r="N163" s="16">
        <f t="shared" si="54"/>
        <v>0.019953771428571427</v>
      </c>
      <c r="P163">
        <f t="shared" si="55"/>
        <v>6979520</v>
      </c>
      <c r="Q163" s="16">
        <f t="shared" si="56"/>
        <v>0.019941485714285716</v>
      </c>
      <c r="T163">
        <f t="shared" si="57"/>
        <v>6988110</v>
      </c>
      <c r="U163" s="16">
        <f t="shared" si="58"/>
        <v>0.01996602857142857</v>
      </c>
      <c r="AR163" s="25"/>
    </row>
    <row r="164" spans="2:44" ht="12.75">
      <c r="B164" s="64">
        <f t="shared" si="71"/>
        <v>1000000</v>
      </c>
      <c r="C164" s="10">
        <f t="shared" si="63"/>
        <v>195750</v>
      </c>
      <c r="D164" s="16">
        <f t="shared" si="49"/>
        <v>0.19575</v>
      </c>
      <c r="E164" s="10">
        <f t="shared" si="65"/>
        <v>192350</v>
      </c>
      <c r="F164" s="16">
        <f t="shared" si="50"/>
        <v>0.19235</v>
      </c>
      <c r="G164">
        <f t="shared" si="66"/>
        <v>191500</v>
      </c>
      <c r="H164" s="16">
        <f t="shared" si="61"/>
        <v>0.1915</v>
      </c>
      <c r="I164" s="64">
        <f t="shared" si="72"/>
        <v>400000000</v>
      </c>
      <c r="J164">
        <f t="shared" si="48"/>
        <v>7992860</v>
      </c>
      <c r="K164" s="208">
        <f t="shared" si="52"/>
        <v>0.01998215</v>
      </c>
      <c r="M164">
        <f t="shared" si="53"/>
        <v>7983820</v>
      </c>
      <c r="N164" s="16">
        <f t="shared" si="54"/>
        <v>0.01995955</v>
      </c>
      <c r="P164">
        <f t="shared" si="55"/>
        <v>7979520</v>
      </c>
      <c r="Q164" s="16">
        <f t="shared" si="56"/>
        <v>0.0199488</v>
      </c>
      <c r="T164">
        <f t="shared" si="57"/>
        <v>7988110</v>
      </c>
      <c r="U164" s="16">
        <f t="shared" si="58"/>
        <v>0.019970275</v>
      </c>
      <c r="AR164" s="25"/>
    </row>
    <row r="165" spans="2:44" ht="12.75">
      <c r="B165" s="64">
        <f aca="true" t="shared" si="73" ref="B165:B172">B164+500000</f>
        <v>1500000</v>
      </c>
      <c r="C165" s="10">
        <f t="shared" si="63"/>
        <v>295750</v>
      </c>
      <c r="D165" s="16">
        <f t="shared" si="49"/>
        <v>0.19716666666666666</v>
      </c>
      <c r="E165" s="10">
        <f t="shared" si="65"/>
        <v>292350</v>
      </c>
      <c r="F165" s="16">
        <f t="shared" si="50"/>
        <v>0.1949</v>
      </c>
      <c r="G165">
        <f t="shared" si="66"/>
        <v>291500</v>
      </c>
      <c r="H165" s="16">
        <f t="shared" si="61"/>
        <v>0.19433333333333333</v>
      </c>
      <c r="I165" s="216" t="s">
        <v>69</v>
      </c>
      <c r="K165" s="208">
        <v>0.02</v>
      </c>
      <c r="N165" s="16">
        <v>0.02</v>
      </c>
      <c r="Q165" s="16">
        <v>0.02</v>
      </c>
      <c r="T165" t="e">
        <f>MAX(0,I$38*(I165-(25000*(1+U$111))-180000-(432000-(U$112-70)*8500)))</f>
        <v>#VALUE!</v>
      </c>
      <c r="U165" s="64" t="e">
        <f>T165/M165</f>
        <v>#VALUE!</v>
      </c>
      <c r="AR165" s="25"/>
    </row>
    <row r="166" spans="2:44" ht="12.75">
      <c r="B166" s="64">
        <f t="shared" si="73"/>
        <v>2000000</v>
      </c>
      <c r="C166" s="10">
        <f t="shared" si="63"/>
        <v>395750</v>
      </c>
      <c r="D166" s="16">
        <f t="shared" si="49"/>
        <v>0.197875</v>
      </c>
      <c r="E166" s="10">
        <f t="shared" si="65"/>
        <v>392350</v>
      </c>
      <c r="F166" s="16">
        <f t="shared" si="50"/>
        <v>0.196175</v>
      </c>
      <c r="G166">
        <f t="shared" si="66"/>
        <v>391500</v>
      </c>
      <c r="H166" s="16">
        <f t="shared" si="61"/>
        <v>0.19575</v>
      </c>
      <c r="I166" s="64"/>
      <c r="K166" s="208"/>
      <c r="N166" s="16"/>
      <c r="Q166" s="16"/>
      <c r="AR166" s="25"/>
    </row>
    <row r="167" spans="2:44" ht="12.75">
      <c r="B167" s="64">
        <f t="shared" si="73"/>
        <v>2500000</v>
      </c>
      <c r="C167" s="10">
        <f t="shared" si="63"/>
        <v>495750.00000000006</v>
      </c>
      <c r="D167" s="16">
        <f t="shared" si="49"/>
        <v>0.19830000000000003</v>
      </c>
      <c r="E167" s="10">
        <f t="shared" si="65"/>
        <v>492350.00000000006</v>
      </c>
      <c r="F167" s="16">
        <f t="shared" si="50"/>
        <v>0.19694000000000003</v>
      </c>
      <c r="G167">
        <f t="shared" si="66"/>
        <v>491500.00000000006</v>
      </c>
      <c r="H167" s="16">
        <f t="shared" si="61"/>
        <v>0.19660000000000002</v>
      </c>
      <c r="I167" s="64"/>
      <c r="K167" s="208"/>
      <c r="N167" s="16"/>
      <c r="Q167" s="16"/>
      <c r="AR167" s="25"/>
    </row>
    <row r="168" spans="2:44" ht="12.75">
      <c r="B168" s="64">
        <f t="shared" si="73"/>
        <v>3000000</v>
      </c>
      <c r="C168" s="10">
        <f t="shared" si="63"/>
        <v>595750</v>
      </c>
      <c r="D168" s="16">
        <f t="shared" si="49"/>
        <v>0.19858333333333333</v>
      </c>
      <c r="E168" s="10">
        <f t="shared" si="65"/>
        <v>592350</v>
      </c>
      <c r="F168" s="16">
        <f t="shared" si="50"/>
        <v>0.19745</v>
      </c>
      <c r="G168">
        <f t="shared" si="66"/>
        <v>591500</v>
      </c>
      <c r="H168" s="16">
        <f t="shared" si="61"/>
        <v>0.19716666666666666</v>
      </c>
      <c r="I168" s="64"/>
      <c r="K168" s="208"/>
      <c r="N168" s="16"/>
      <c r="Q168" s="16"/>
      <c r="AR168" s="25"/>
    </row>
    <row r="169" spans="2:44" ht="12.75">
      <c r="B169" s="64">
        <f t="shared" si="73"/>
        <v>3500000</v>
      </c>
      <c r="C169" s="10">
        <f t="shared" si="63"/>
        <v>695750</v>
      </c>
      <c r="D169" s="16">
        <f t="shared" si="49"/>
        <v>0.1987857142857143</v>
      </c>
      <c r="E169" s="10">
        <f t="shared" si="65"/>
        <v>692350</v>
      </c>
      <c r="F169" s="16">
        <f t="shared" si="50"/>
        <v>0.19781428571428572</v>
      </c>
      <c r="G169">
        <f t="shared" si="66"/>
        <v>691500</v>
      </c>
      <c r="H169" s="16">
        <f t="shared" si="61"/>
        <v>0.19757142857142856</v>
      </c>
      <c r="I169" s="64"/>
      <c r="K169" s="208"/>
      <c r="N169" s="16"/>
      <c r="Q169" s="16"/>
      <c r="AR169" s="25"/>
    </row>
    <row r="170" spans="2:44" ht="12.75">
      <c r="B170" s="64">
        <f t="shared" si="73"/>
        <v>4000000</v>
      </c>
      <c r="C170" s="10">
        <f t="shared" si="63"/>
        <v>795750</v>
      </c>
      <c r="D170" s="16">
        <f t="shared" si="49"/>
        <v>0.1989375</v>
      </c>
      <c r="E170" s="10">
        <f t="shared" si="65"/>
        <v>792350</v>
      </c>
      <c r="F170" s="16">
        <f t="shared" si="50"/>
        <v>0.1980875</v>
      </c>
      <c r="G170">
        <f t="shared" si="66"/>
        <v>791500</v>
      </c>
      <c r="H170" s="16">
        <f t="shared" si="61"/>
        <v>0.197875</v>
      </c>
      <c r="I170" s="64"/>
      <c r="K170" s="208"/>
      <c r="N170" s="16"/>
      <c r="Q170" s="16"/>
      <c r="AR170" s="25"/>
    </row>
    <row r="171" spans="2:44" ht="12.75">
      <c r="B171" s="64">
        <f t="shared" si="73"/>
        <v>4500000</v>
      </c>
      <c r="C171" s="10">
        <f t="shared" si="63"/>
        <v>895750</v>
      </c>
      <c r="D171" s="16">
        <f t="shared" si="49"/>
        <v>0.19905555555555557</v>
      </c>
      <c r="E171" s="10">
        <f t="shared" si="65"/>
        <v>892350</v>
      </c>
      <c r="F171" s="16">
        <f t="shared" si="50"/>
        <v>0.1983</v>
      </c>
      <c r="G171">
        <f t="shared" si="66"/>
        <v>891500</v>
      </c>
      <c r="H171" s="16">
        <f t="shared" si="61"/>
        <v>0.1981111111111111</v>
      </c>
      <c r="I171" s="64"/>
      <c r="K171" s="208"/>
      <c r="N171" s="16"/>
      <c r="Q171" s="16"/>
      <c r="AR171" s="25"/>
    </row>
    <row r="172" spans="2:44" ht="12.75">
      <c r="B172" s="64">
        <f t="shared" si="73"/>
        <v>5000000</v>
      </c>
      <c r="C172" s="10">
        <f t="shared" si="63"/>
        <v>995750.0000000001</v>
      </c>
      <c r="D172" s="16">
        <f t="shared" si="49"/>
        <v>0.19915000000000002</v>
      </c>
      <c r="E172" s="10">
        <f t="shared" si="65"/>
        <v>992350.0000000001</v>
      </c>
      <c r="F172" s="16">
        <f t="shared" si="50"/>
        <v>0.19847000000000004</v>
      </c>
      <c r="G172">
        <f t="shared" si="66"/>
        <v>991500.0000000001</v>
      </c>
      <c r="H172" s="16">
        <f t="shared" si="61"/>
        <v>0.19830000000000003</v>
      </c>
      <c r="I172" s="64"/>
      <c r="K172" s="208"/>
      <c r="N172" s="16"/>
      <c r="Q172" s="16"/>
      <c r="AR172" s="25"/>
    </row>
    <row r="173" spans="2:44" ht="12.75">
      <c r="B173" s="64">
        <f>B172+2500000</f>
        <v>7500000</v>
      </c>
      <c r="C173" s="10">
        <f t="shared" si="63"/>
        <v>1495750</v>
      </c>
      <c r="D173" s="16">
        <f t="shared" si="49"/>
        <v>0.19943333333333332</v>
      </c>
      <c r="E173" s="10">
        <f t="shared" si="65"/>
        <v>1492350</v>
      </c>
      <c r="F173" s="16">
        <f t="shared" si="50"/>
        <v>0.19898</v>
      </c>
      <c r="G173">
        <f t="shared" si="66"/>
        <v>1491500</v>
      </c>
      <c r="H173" s="16">
        <f t="shared" si="61"/>
        <v>0.19886666666666666</v>
      </c>
      <c r="I173" s="64"/>
      <c r="K173" s="208"/>
      <c r="N173" s="16"/>
      <c r="Q173" s="16"/>
      <c r="AR173" s="25"/>
    </row>
    <row r="174" spans="2:44" ht="12.75">
      <c r="B174" s="64">
        <f>B173+2500000</f>
        <v>10000000</v>
      </c>
      <c r="C174" s="10">
        <f t="shared" si="63"/>
        <v>1995750.0000000002</v>
      </c>
      <c r="D174" s="16">
        <f t="shared" si="49"/>
        <v>0.19957500000000003</v>
      </c>
      <c r="E174" s="10">
        <f t="shared" si="65"/>
        <v>1992350.0000000002</v>
      </c>
      <c r="F174" s="16">
        <f t="shared" si="50"/>
        <v>0.19923500000000002</v>
      </c>
      <c r="G174">
        <f t="shared" si="66"/>
        <v>1991500.0000000002</v>
      </c>
      <c r="H174" s="16">
        <f t="shared" si="61"/>
        <v>0.19915000000000002</v>
      </c>
      <c r="I174" s="64"/>
      <c r="K174" s="208"/>
      <c r="N174" s="16"/>
      <c r="Q174" s="16"/>
      <c r="AR174" s="25"/>
    </row>
    <row r="175" spans="2:44" ht="12.75">
      <c r="B175" s="64">
        <f aca="true" t="shared" si="74" ref="B175:B180">B174+2500000</f>
        <v>12500000</v>
      </c>
      <c r="C175" s="10">
        <f t="shared" si="63"/>
        <v>2495750</v>
      </c>
      <c r="D175" s="16">
        <f t="shared" si="49"/>
        <v>0.19966</v>
      </c>
      <c r="E175" s="10">
        <f t="shared" si="65"/>
        <v>2492350</v>
      </c>
      <c r="F175" s="16">
        <f t="shared" si="50"/>
        <v>0.199388</v>
      </c>
      <c r="G175">
        <f t="shared" si="66"/>
        <v>2491500</v>
      </c>
      <c r="H175" s="217">
        <f t="shared" si="61"/>
        <v>0.19932</v>
      </c>
      <c r="I175" s="64"/>
      <c r="K175" s="208"/>
      <c r="N175" s="16"/>
      <c r="Q175" s="16"/>
      <c r="AR175" s="25"/>
    </row>
    <row r="176" spans="2:44" ht="12.75">
      <c r="B176" s="64">
        <f t="shared" si="74"/>
        <v>15000000</v>
      </c>
      <c r="C176" s="10">
        <f t="shared" si="63"/>
        <v>2995750</v>
      </c>
      <c r="D176" s="16">
        <f t="shared" si="49"/>
        <v>0.19971666666666665</v>
      </c>
      <c r="E176" s="10">
        <f t="shared" si="65"/>
        <v>2992350</v>
      </c>
      <c r="F176" s="16">
        <f t="shared" si="50"/>
        <v>0.19949</v>
      </c>
      <c r="G176">
        <f t="shared" si="66"/>
        <v>2991500</v>
      </c>
      <c r="H176" s="217">
        <f t="shared" si="61"/>
        <v>0.19943333333333332</v>
      </c>
      <c r="I176" s="64"/>
      <c r="K176" s="208"/>
      <c r="N176" s="16"/>
      <c r="Q176" s="16"/>
      <c r="AR176" s="25"/>
    </row>
    <row r="177" spans="2:44" ht="12.75">
      <c r="B177" s="64">
        <f t="shared" si="74"/>
        <v>17500000</v>
      </c>
      <c r="C177" s="10">
        <f t="shared" si="63"/>
        <v>3495750</v>
      </c>
      <c r="D177" s="16">
        <f t="shared" si="49"/>
        <v>0.19975714285714286</v>
      </c>
      <c r="E177" s="10">
        <f t="shared" si="65"/>
        <v>3492350</v>
      </c>
      <c r="F177" s="16">
        <f t="shared" si="50"/>
        <v>0.19956285714285715</v>
      </c>
      <c r="G177">
        <f t="shared" si="66"/>
        <v>3491500</v>
      </c>
      <c r="H177" s="217">
        <f t="shared" si="61"/>
        <v>0.19951428571428573</v>
      </c>
      <c r="I177" s="64"/>
      <c r="K177" s="208"/>
      <c r="N177" s="16"/>
      <c r="Q177" s="16"/>
      <c r="AR177" s="25"/>
    </row>
    <row r="178" spans="2:44" ht="12.75">
      <c r="B178" s="64">
        <f t="shared" si="74"/>
        <v>20000000</v>
      </c>
      <c r="C178" s="10">
        <f t="shared" si="63"/>
        <v>3995750.0000000005</v>
      </c>
      <c r="D178" s="16">
        <f t="shared" si="49"/>
        <v>0.19978750000000003</v>
      </c>
      <c r="E178" s="10">
        <f t="shared" si="65"/>
        <v>3992350.0000000005</v>
      </c>
      <c r="F178" s="16">
        <f t="shared" si="50"/>
        <v>0.19961750000000003</v>
      </c>
      <c r="G178">
        <f t="shared" si="66"/>
        <v>3991500.0000000005</v>
      </c>
      <c r="H178" s="16">
        <f t="shared" si="61"/>
        <v>0.19957500000000003</v>
      </c>
      <c r="I178" s="64"/>
      <c r="K178" s="208"/>
      <c r="N178" s="16"/>
      <c r="Q178" s="16"/>
      <c r="AR178" s="25"/>
    </row>
    <row r="179" spans="2:44" ht="12.75">
      <c r="B179" s="64">
        <f t="shared" si="74"/>
        <v>22500000</v>
      </c>
      <c r="C179" s="10">
        <f t="shared" si="63"/>
        <v>4495750</v>
      </c>
      <c r="D179" s="16">
        <f t="shared" si="49"/>
        <v>0.1998111111111111</v>
      </c>
      <c r="E179" s="10">
        <f t="shared" si="65"/>
        <v>4492350</v>
      </c>
      <c r="F179" s="16">
        <f t="shared" si="50"/>
        <v>0.19966</v>
      </c>
      <c r="G179">
        <f t="shared" si="66"/>
        <v>4491500</v>
      </c>
      <c r="H179" s="16">
        <f t="shared" si="61"/>
        <v>0.19962222222222223</v>
      </c>
      <c r="I179" s="64"/>
      <c r="K179" s="208"/>
      <c r="N179" s="16"/>
      <c r="Q179" s="16"/>
      <c r="AR179" s="25"/>
    </row>
    <row r="180" spans="2:44" ht="12.75">
      <c r="B180" s="64">
        <f t="shared" si="74"/>
        <v>25000000</v>
      </c>
      <c r="C180" s="10">
        <f t="shared" si="63"/>
        <v>4995750</v>
      </c>
      <c r="D180" s="16">
        <f t="shared" si="49"/>
        <v>0.19983</v>
      </c>
      <c r="E180" s="10">
        <f t="shared" si="65"/>
        <v>4992350</v>
      </c>
      <c r="F180" s="16">
        <f t="shared" si="50"/>
        <v>0.199694</v>
      </c>
      <c r="G180">
        <f t="shared" si="66"/>
        <v>4991500</v>
      </c>
      <c r="H180" s="16">
        <f t="shared" si="61"/>
        <v>0.19966</v>
      </c>
      <c r="I180" s="64"/>
      <c r="K180" s="208"/>
      <c r="N180" s="16"/>
      <c r="Q180" s="16"/>
      <c r="AR180" s="25"/>
    </row>
    <row r="181" spans="4:44" ht="12.75">
      <c r="D181" s="16"/>
      <c r="E181"/>
      <c r="I181" s="64"/>
      <c r="K181" s="208"/>
      <c r="N181" s="16"/>
      <c r="Q181" s="16"/>
      <c r="AR181" s="25"/>
    </row>
    <row r="182" spans="4:44" ht="12.75">
      <c r="D182" s="16"/>
      <c r="E182"/>
      <c r="AR182" s="25"/>
    </row>
    <row r="183" spans="4:44" ht="12.75">
      <c r="D183" s="16"/>
      <c r="E183"/>
      <c r="AR183" s="25"/>
    </row>
    <row r="184" spans="4:44" ht="12.75">
      <c r="D184" s="16"/>
      <c r="E184"/>
      <c r="AR184" s="25"/>
    </row>
    <row r="185" spans="4:44" ht="12.75">
      <c r="D185" s="16"/>
      <c r="E185"/>
      <c r="AR185" s="25"/>
    </row>
    <row r="186" spans="4:44" ht="12.75">
      <c r="D186" s="16"/>
      <c r="E186"/>
      <c r="AR186" s="25"/>
    </row>
    <row r="187" spans="4:44" ht="12.75">
      <c r="D187" s="16"/>
      <c r="E187"/>
      <c r="AR187" s="25"/>
    </row>
    <row r="188" spans="4:44" ht="12.75">
      <c r="D188" s="16"/>
      <c r="E188"/>
      <c r="AR188" s="25"/>
    </row>
    <row r="189" spans="4:44" ht="12.75">
      <c r="D189" s="16"/>
      <c r="E189"/>
      <c r="AR189" s="25"/>
    </row>
    <row r="190" spans="4:44" ht="12.75">
      <c r="D190" s="16"/>
      <c r="E190"/>
      <c r="AR190" s="25"/>
    </row>
    <row r="191" spans="4:44" ht="12.75">
      <c r="D191" s="16"/>
      <c r="E191"/>
      <c r="AR191" s="25"/>
    </row>
    <row r="192" spans="4:44" ht="12.75">
      <c r="D192" s="16"/>
      <c r="E192"/>
      <c r="AR192" s="25"/>
    </row>
    <row r="193" spans="4:44" ht="12.75">
      <c r="D193" s="16"/>
      <c r="E193"/>
      <c r="AR193" s="25"/>
    </row>
    <row r="194" spans="4:44" ht="12.75">
      <c r="D194" s="16"/>
      <c r="E194"/>
      <c r="AR194" s="25"/>
    </row>
    <row r="195" spans="4:44" ht="12.75">
      <c r="D195" s="16"/>
      <c r="E195"/>
      <c r="AR195" s="25"/>
    </row>
    <row r="196" spans="4:44" ht="12.75">
      <c r="D196" s="16"/>
      <c r="E196"/>
      <c r="AR196" s="25"/>
    </row>
    <row r="197" spans="4:44" ht="12.75">
      <c r="D197" s="16"/>
      <c r="E197"/>
      <c r="AR197" s="25"/>
    </row>
    <row r="198" spans="4:44" ht="12.75">
      <c r="D198" s="16"/>
      <c r="E198"/>
      <c r="AR198" s="25"/>
    </row>
    <row r="199" spans="4:5" ht="12.75">
      <c r="D199" s="16"/>
      <c r="E199"/>
    </row>
    <row r="200" spans="4:5" ht="12.75">
      <c r="D200" s="16"/>
      <c r="E200"/>
    </row>
    <row r="201" spans="4:5" ht="12.75">
      <c r="D201" s="16"/>
      <c r="E201"/>
    </row>
    <row r="202" spans="4:5" ht="12.75">
      <c r="D202" s="16"/>
      <c r="E202"/>
    </row>
    <row r="203" spans="4:5" ht="12.75">
      <c r="D203" s="16"/>
      <c r="E203"/>
    </row>
    <row r="204" spans="4:5" ht="12.75">
      <c r="D204" s="16"/>
      <c r="E204"/>
    </row>
    <row r="205" spans="4:5" ht="12.75">
      <c r="D205" s="16"/>
      <c r="E205"/>
    </row>
    <row r="206" spans="4:5" ht="12.75">
      <c r="D206" s="16"/>
      <c r="E206"/>
    </row>
    <row r="207" spans="4:5" ht="12.75">
      <c r="D207" s="16"/>
      <c r="E207"/>
    </row>
    <row r="208" spans="4:5" ht="12.75">
      <c r="D208" s="16"/>
      <c r="E208"/>
    </row>
    <row r="209" spans="4:5" ht="12.75">
      <c r="D209" s="16"/>
      <c r="E209"/>
    </row>
    <row r="210" spans="4:5" ht="12.75">
      <c r="D210" s="16"/>
      <c r="E210"/>
    </row>
    <row r="211" spans="4:5" ht="12.75">
      <c r="D211" s="16"/>
      <c r="E211"/>
    </row>
    <row r="212" spans="4:5" ht="12.75">
      <c r="D212" s="16"/>
      <c r="E212"/>
    </row>
    <row r="213" spans="4:5" ht="12.75">
      <c r="D213" s="16"/>
      <c r="E213"/>
    </row>
    <row r="214" spans="4:5" ht="12.75">
      <c r="D214" s="16"/>
      <c r="E214"/>
    </row>
    <row r="215" spans="4:5" ht="12.75">
      <c r="D215" s="16"/>
      <c r="E215"/>
    </row>
    <row r="216" spans="4:5" ht="12.75">
      <c r="D216" s="16"/>
      <c r="E216"/>
    </row>
    <row r="217" spans="4:5" ht="12.75">
      <c r="D217" s="16"/>
      <c r="E217"/>
    </row>
    <row r="218" spans="4:5" ht="12.75">
      <c r="D218" s="16"/>
      <c r="E218"/>
    </row>
    <row r="219" spans="4:5" ht="12.75">
      <c r="D219" s="16"/>
      <c r="E219"/>
    </row>
    <row r="220" spans="4:5" ht="12.75">
      <c r="D220" s="16"/>
      <c r="E220"/>
    </row>
    <row r="221" spans="4:5" ht="12.75">
      <c r="D221" s="16"/>
      <c r="E221"/>
    </row>
    <row r="222" spans="4:5" ht="12.75">
      <c r="D222" s="16"/>
      <c r="E222"/>
    </row>
    <row r="223" spans="4:5" ht="12.75">
      <c r="D223" s="16"/>
      <c r="E223"/>
    </row>
    <row r="224" spans="4:5" ht="12.75">
      <c r="D224" s="16"/>
      <c r="E224"/>
    </row>
    <row r="225" spans="4:5" ht="12.75">
      <c r="D225" s="16"/>
      <c r="E225"/>
    </row>
    <row r="226" spans="4:5" ht="12.75">
      <c r="D226" s="16"/>
      <c r="E226"/>
    </row>
    <row r="227" spans="4:5" ht="12.75">
      <c r="D227" s="16"/>
      <c r="E227"/>
    </row>
    <row r="228" spans="4:5" ht="12.75">
      <c r="D228" s="16"/>
      <c r="E228"/>
    </row>
    <row r="229" spans="4:5" ht="12.75">
      <c r="D229" s="16"/>
      <c r="E229"/>
    </row>
    <row r="230" spans="4:5" ht="12.75">
      <c r="D230" s="16"/>
      <c r="E230"/>
    </row>
    <row r="231" spans="4:5" ht="12.75">
      <c r="D231" s="16"/>
      <c r="E231"/>
    </row>
    <row r="232" spans="4:5" ht="12.75">
      <c r="D232" s="16"/>
      <c r="E232"/>
    </row>
    <row r="233" spans="4:5" ht="12.75">
      <c r="D233" s="16"/>
      <c r="E233"/>
    </row>
    <row r="234" spans="4:5" ht="12.75">
      <c r="D234" s="16"/>
      <c r="E234"/>
    </row>
    <row r="235" spans="4:5" ht="12.75">
      <c r="D235" s="16"/>
      <c r="E235"/>
    </row>
    <row r="236" spans="4:5" ht="12.75">
      <c r="D236" s="16"/>
      <c r="E236"/>
    </row>
    <row r="237" spans="4:5" ht="12.75">
      <c r="D237" s="16"/>
      <c r="E237"/>
    </row>
    <row r="238" spans="4:5" ht="12.75">
      <c r="D238" s="16"/>
      <c r="E238"/>
    </row>
    <row r="239" spans="4:5" ht="12.75">
      <c r="D239" s="16"/>
      <c r="E239"/>
    </row>
    <row r="240" spans="4:5" ht="12.75">
      <c r="D240" s="16"/>
      <c r="E240"/>
    </row>
    <row r="241" spans="4:5" ht="12.75">
      <c r="D241" s="16"/>
      <c r="E241"/>
    </row>
    <row r="242" spans="4:5" ht="12.75">
      <c r="D242" s="16"/>
      <c r="E242"/>
    </row>
    <row r="243" spans="4:5" ht="12.75">
      <c r="D243" s="16"/>
      <c r="E243"/>
    </row>
    <row r="244" spans="4:5" ht="12.75">
      <c r="D244" s="16"/>
      <c r="E244"/>
    </row>
    <row r="245" spans="4:5" ht="12.75">
      <c r="D245" s="16"/>
      <c r="E245"/>
    </row>
    <row r="246" spans="4:5" ht="12.75">
      <c r="D246" s="16"/>
      <c r="E246"/>
    </row>
    <row r="247" spans="4:5" ht="12.75">
      <c r="D247" s="16"/>
      <c r="E247"/>
    </row>
    <row r="248" spans="4:5" ht="12.75">
      <c r="D248" s="16"/>
      <c r="E248"/>
    </row>
  </sheetData>
  <printOptions/>
  <pageMargins left="0.2222222222222222" right="0.1527777777777778" top="0.3888888888888889" bottom="0.25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tabSelected="1" workbookViewId="0" topLeftCell="A1">
      <selection activeCell="A2" sqref="A2"/>
    </sheetView>
  </sheetViews>
  <sheetFormatPr defaultColWidth="11.00390625" defaultRowHeight="12.75"/>
  <sheetData>
    <row r="2" ht="15.75">
      <c r="A2" s="218" t="s">
        <v>189</v>
      </c>
    </row>
  </sheetData>
  <printOptions/>
  <pageMargins left="0.75" right="0.75" top="1" bottom="1" header="0.5" footer="0.5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Gloor User</dc:creator>
  <cp:keywords/>
  <dc:description/>
  <cp:lastModifiedBy>Peter Gloor User</cp:lastModifiedBy>
  <cp:lastPrinted>2012-07-27T11:11:55Z</cp:lastPrinted>
  <dcterms:created xsi:type="dcterms:W3CDTF">2012-06-29T22:40:08Z</dcterms:created>
  <cp:category/>
  <cp:version/>
  <cp:contentType/>
  <cp:contentStatus/>
</cp:coreProperties>
</file>